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Work\2020\033_Evaluation_of_Forest_Road_Network_to_Protect_Water_Quality\10_Project\1_Deliverables\Final report sent to client 5-7-22\"/>
    </mc:Choice>
  </mc:AlternateContent>
  <xr:revisionPtr revIDLastSave="0" documentId="8_{A94BA8B4-8372-4945-9C4F-750A526D82BC}" xr6:coauthVersionLast="47" xr6:coauthVersionMax="47" xr10:uidLastSave="{00000000-0000-0000-0000-000000000000}"/>
  <bookViews>
    <workbookView xWindow="-103" yWindow="-103" windowWidth="33120" windowHeight="18120" tabRatio="554" firstSheet="1" activeTab="6" xr2:uid="{A25A7BA0-841C-413B-90D1-044C1A835185}"/>
  </bookViews>
  <sheets>
    <sheet name="Home" sheetId="10" r:id="rId1"/>
    <sheet name="Model" sheetId="5" r:id="rId2"/>
    <sheet name="Base case" sheetId="29" r:id="rId3"/>
    <sheet name="Drain catchment area" sheetId="30" r:id="rId4"/>
    <sheet name="Blocked and bypassed" sheetId="34" r:id="rId5"/>
    <sheet name="Gullying" sheetId="33" r:id="rId6"/>
    <sheet name="Segment summary" sheetId="17" r:id="rId7"/>
    <sheet name="GIS Output" sheetId="35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29" l="1"/>
  <c r="CC5" i="34"/>
  <c r="CA5" i="33"/>
  <c r="B2" i="35" a="1"/>
  <c r="B2" i="35" s="1"/>
  <c r="C2" i="35" a="1"/>
  <c r="C2" i="35" s="1"/>
  <c r="D2" i="35" a="1"/>
  <c r="D2" i="35" s="1"/>
  <c r="E2" i="35" a="1"/>
  <c r="E2" i="35" s="1"/>
  <c r="F2" i="35" a="1"/>
  <c r="F2" i="35" s="1"/>
  <c r="G2" i="35" a="1"/>
  <c r="G2" i="35" s="1"/>
  <c r="H2" i="35" a="1"/>
  <c r="H2" i="35" s="1"/>
  <c r="I2" i="35" a="1"/>
  <c r="I2" i="35" s="1"/>
  <c r="J2" i="35" a="1"/>
  <c r="J2" i="35" s="1"/>
  <c r="K2" i="35" a="1"/>
  <c r="K2" i="35" s="1"/>
  <c r="L2" i="35" a="1"/>
  <c r="L2" i="35" s="1"/>
  <c r="M2" i="35" a="1"/>
  <c r="M2" i="35" s="1"/>
  <c r="N2" i="35" a="1"/>
  <c r="N2" i="35" s="1"/>
  <c r="O2" i="35" a="1"/>
  <c r="O2" i="35" s="1"/>
  <c r="P2" i="35" a="1"/>
  <c r="P2" i="35" s="1"/>
  <c r="Q2" i="35" a="1"/>
  <c r="Q2" i="35" s="1"/>
  <c r="R2" i="35" a="1"/>
  <c r="R2" i="35" s="1"/>
  <c r="A2" i="35" a="1"/>
  <c r="A2" i="35" s="1"/>
  <c r="S6" i="33"/>
  <c r="S7" i="33"/>
  <c r="S8" i="33"/>
  <c r="AJ8" i="33" s="1"/>
  <c r="AM8" i="33" s="1"/>
  <c r="S9" i="33"/>
  <c r="S10" i="33"/>
  <c r="S11" i="33"/>
  <c r="AJ11" i="33" s="1"/>
  <c r="AM11" i="33" s="1"/>
  <c r="S12" i="33"/>
  <c r="S13" i="33"/>
  <c r="AJ13" i="33" s="1"/>
  <c r="AM13" i="33" s="1"/>
  <c r="S14" i="33"/>
  <c r="S15" i="33"/>
  <c r="AJ15" i="33" s="1"/>
  <c r="S16" i="33"/>
  <c r="AJ16" i="33" s="1"/>
  <c r="AM16" i="33" s="1"/>
  <c r="S17" i="33"/>
  <c r="S18" i="33"/>
  <c r="S19" i="33"/>
  <c r="AJ19" i="33" s="1"/>
  <c r="AM19" i="33" s="1"/>
  <c r="S20" i="33"/>
  <c r="S21" i="33"/>
  <c r="S22" i="33"/>
  <c r="S23" i="33"/>
  <c r="S24" i="33"/>
  <c r="AJ24" i="33" s="1"/>
  <c r="AM24" i="33" s="1"/>
  <c r="AN24" i="33" s="1"/>
  <c r="AO24" i="33" s="1"/>
  <c r="S25" i="33"/>
  <c r="S26" i="33"/>
  <c r="S27" i="33"/>
  <c r="AJ27" i="33" s="1"/>
  <c r="AM27" i="33" s="1"/>
  <c r="S28" i="33"/>
  <c r="S29" i="33"/>
  <c r="AJ29" i="33" s="1"/>
  <c r="AM29" i="33" s="1"/>
  <c r="S30" i="33"/>
  <c r="S31" i="33"/>
  <c r="AJ31" i="33" s="1"/>
  <c r="S32" i="33"/>
  <c r="AJ32" i="33" s="1"/>
  <c r="AM32" i="33" s="1"/>
  <c r="S33" i="33"/>
  <c r="S34" i="33"/>
  <c r="S35" i="33"/>
  <c r="AJ35" i="33" s="1"/>
  <c r="AM35" i="33" s="1"/>
  <c r="S36" i="33"/>
  <c r="S37" i="33"/>
  <c r="AJ37" i="33" s="1"/>
  <c r="AM37" i="33" s="1"/>
  <c r="S38" i="33"/>
  <c r="S39" i="33"/>
  <c r="S40" i="33"/>
  <c r="AJ40" i="33" s="1"/>
  <c r="AM40" i="33" s="1"/>
  <c r="AN40" i="33" s="1"/>
  <c r="AO40" i="33" s="1"/>
  <c r="S41" i="33"/>
  <c r="S42" i="33"/>
  <c r="S43" i="33"/>
  <c r="AJ43" i="33" s="1"/>
  <c r="AM43" i="33" s="1"/>
  <c r="S44" i="33"/>
  <c r="S45" i="33"/>
  <c r="AJ45" i="33" s="1"/>
  <c r="AM45" i="33" s="1"/>
  <c r="S46" i="33"/>
  <c r="S47" i="33"/>
  <c r="S48" i="33"/>
  <c r="AJ48" i="33" s="1"/>
  <c r="AM48" i="33" s="1"/>
  <c r="AN48" i="33" s="1"/>
  <c r="AO48" i="33" s="1"/>
  <c r="S49" i="33"/>
  <c r="S50" i="33"/>
  <c r="S51" i="33"/>
  <c r="AJ51" i="33" s="1"/>
  <c r="AM51" i="33" s="1"/>
  <c r="T6" i="33"/>
  <c r="U6" i="33" s="1"/>
  <c r="V6" i="33" s="1"/>
  <c r="W6" i="33" s="1"/>
  <c r="X6" i="33" s="1"/>
  <c r="T7" i="33"/>
  <c r="U7" i="33" s="1"/>
  <c r="V7" i="33" s="1"/>
  <c r="W7" i="33" s="1"/>
  <c r="X7" i="33" s="1"/>
  <c r="T8" i="33"/>
  <c r="T9" i="33"/>
  <c r="U9" i="33" s="1"/>
  <c r="V9" i="33" s="1"/>
  <c r="W9" i="33" s="1"/>
  <c r="X9" i="33" s="1"/>
  <c r="T10" i="33"/>
  <c r="U10" i="33" s="1"/>
  <c r="V10" i="33" s="1"/>
  <c r="W10" i="33" s="1"/>
  <c r="X10" i="33" s="1"/>
  <c r="T11" i="33"/>
  <c r="U11" i="33" s="1"/>
  <c r="V11" i="33" s="1"/>
  <c r="W11" i="33" s="1"/>
  <c r="X11" i="33" s="1"/>
  <c r="T12" i="33"/>
  <c r="U12" i="33" s="1"/>
  <c r="V12" i="33" s="1"/>
  <c r="W12" i="33" s="1"/>
  <c r="X12" i="33" s="1"/>
  <c r="T13" i="33"/>
  <c r="U13" i="33" s="1"/>
  <c r="V13" i="33" s="1"/>
  <c r="W13" i="33" s="1"/>
  <c r="X13" i="33" s="1"/>
  <c r="T14" i="33"/>
  <c r="U14" i="33" s="1"/>
  <c r="V14" i="33" s="1"/>
  <c r="W14" i="33" s="1"/>
  <c r="X14" i="33" s="1"/>
  <c r="T15" i="33"/>
  <c r="U15" i="33" s="1"/>
  <c r="V15" i="33" s="1"/>
  <c r="W15" i="33" s="1"/>
  <c r="X15" i="33" s="1"/>
  <c r="T16" i="33"/>
  <c r="T17" i="33"/>
  <c r="U17" i="33" s="1"/>
  <c r="V17" i="33" s="1"/>
  <c r="W17" i="33" s="1"/>
  <c r="X17" i="33" s="1"/>
  <c r="T18" i="33"/>
  <c r="U18" i="33" s="1"/>
  <c r="V18" i="33" s="1"/>
  <c r="W18" i="33" s="1"/>
  <c r="X18" i="33" s="1"/>
  <c r="T19" i="33"/>
  <c r="T20" i="33"/>
  <c r="T21" i="33"/>
  <c r="T22" i="33"/>
  <c r="U22" i="33" s="1"/>
  <c r="V22" i="33" s="1"/>
  <c r="W22" i="33" s="1"/>
  <c r="X22" i="33" s="1"/>
  <c r="T23" i="33"/>
  <c r="U23" i="33" s="1"/>
  <c r="V23" i="33" s="1"/>
  <c r="W23" i="33" s="1"/>
  <c r="X23" i="33" s="1"/>
  <c r="T24" i="33"/>
  <c r="T25" i="33"/>
  <c r="U25" i="33" s="1"/>
  <c r="V25" i="33" s="1"/>
  <c r="W25" i="33" s="1"/>
  <c r="X25" i="33" s="1"/>
  <c r="T26" i="33"/>
  <c r="U26" i="33" s="1"/>
  <c r="V26" i="33" s="1"/>
  <c r="W26" i="33" s="1"/>
  <c r="X26" i="33" s="1"/>
  <c r="T27" i="33"/>
  <c r="U27" i="33" s="1"/>
  <c r="V27" i="33" s="1"/>
  <c r="W27" i="33" s="1"/>
  <c r="X27" i="33" s="1"/>
  <c r="T28" i="33"/>
  <c r="T29" i="33"/>
  <c r="U29" i="33" s="1"/>
  <c r="V29" i="33" s="1"/>
  <c r="W29" i="33" s="1"/>
  <c r="X29" i="33" s="1"/>
  <c r="T30" i="33"/>
  <c r="U30" i="33" s="1"/>
  <c r="V30" i="33" s="1"/>
  <c r="W30" i="33" s="1"/>
  <c r="X30" i="33" s="1"/>
  <c r="T31" i="33"/>
  <c r="U31" i="33" s="1"/>
  <c r="V31" i="33" s="1"/>
  <c r="W31" i="33" s="1"/>
  <c r="X31" i="33" s="1"/>
  <c r="T32" i="33"/>
  <c r="U32" i="33" s="1"/>
  <c r="V32" i="33" s="1"/>
  <c r="W32" i="33" s="1"/>
  <c r="X32" i="33" s="1"/>
  <c r="T33" i="33"/>
  <c r="U33" i="33" s="1"/>
  <c r="V33" i="33" s="1"/>
  <c r="W33" i="33" s="1"/>
  <c r="X33" i="33" s="1"/>
  <c r="T34" i="33"/>
  <c r="T35" i="33"/>
  <c r="T36" i="33"/>
  <c r="T37" i="33"/>
  <c r="U37" i="33" s="1"/>
  <c r="V37" i="33" s="1"/>
  <c r="W37" i="33" s="1"/>
  <c r="X37" i="33" s="1"/>
  <c r="T38" i="33"/>
  <c r="U38" i="33" s="1"/>
  <c r="V38" i="33" s="1"/>
  <c r="W38" i="33" s="1"/>
  <c r="X38" i="33" s="1"/>
  <c r="T39" i="33"/>
  <c r="U39" i="33" s="1"/>
  <c r="V39" i="33" s="1"/>
  <c r="W39" i="33" s="1"/>
  <c r="X39" i="33" s="1"/>
  <c r="T40" i="33"/>
  <c r="U40" i="33" s="1"/>
  <c r="V40" i="33" s="1"/>
  <c r="W40" i="33" s="1"/>
  <c r="X40" i="33" s="1"/>
  <c r="T41" i="33"/>
  <c r="U41" i="33" s="1"/>
  <c r="V41" i="33" s="1"/>
  <c r="W41" i="33" s="1"/>
  <c r="X41" i="33" s="1"/>
  <c r="T42" i="33"/>
  <c r="U42" i="33" s="1"/>
  <c r="V42" i="33" s="1"/>
  <c r="W42" i="33" s="1"/>
  <c r="X42" i="33" s="1"/>
  <c r="T43" i="33"/>
  <c r="U43" i="33" s="1"/>
  <c r="V43" i="33" s="1"/>
  <c r="W43" i="33" s="1"/>
  <c r="X43" i="33" s="1"/>
  <c r="T44" i="33"/>
  <c r="U44" i="33" s="1"/>
  <c r="V44" i="33" s="1"/>
  <c r="W44" i="33" s="1"/>
  <c r="X44" i="33" s="1"/>
  <c r="T45" i="33"/>
  <c r="U45" i="33" s="1"/>
  <c r="V45" i="33" s="1"/>
  <c r="W45" i="33" s="1"/>
  <c r="X45" i="33" s="1"/>
  <c r="T46" i="33"/>
  <c r="U46" i="33" s="1"/>
  <c r="V46" i="33" s="1"/>
  <c r="W46" i="33" s="1"/>
  <c r="X46" i="33" s="1"/>
  <c r="T47" i="33"/>
  <c r="U47" i="33" s="1"/>
  <c r="V47" i="33" s="1"/>
  <c r="W47" i="33" s="1"/>
  <c r="X47" i="33" s="1"/>
  <c r="T48" i="33"/>
  <c r="U48" i="33" s="1"/>
  <c r="V48" i="33" s="1"/>
  <c r="W48" i="33" s="1"/>
  <c r="X48" i="33" s="1"/>
  <c r="T49" i="33"/>
  <c r="U49" i="33" s="1"/>
  <c r="V49" i="33" s="1"/>
  <c r="W49" i="33" s="1"/>
  <c r="X49" i="33" s="1"/>
  <c r="T50" i="33"/>
  <c r="U50" i="33" s="1"/>
  <c r="V50" i="33" s="1"/>
  <c r="W50" i="33" s="1"/>
  <c r="X50" i="33" s="1"/>
  <c r="T51" i="33"/>
  <c r="U51" i="33" s="1"/>
  <c r="V51" i="33" s="1"/>
  <c r="W51" i="33" s="1"/>
  <c r="X51" i="33" s="1"/>
  <c r="U8" i="33"/>
  <c r="U16" i="33"/>
  <c r="V16" i="33" s="1"/>
  <c r="W16" i="33" s="1"/>
  <c r="X16" i="33" s="1"/>
  <c r="U19" i="33"/>
  <c r="V19" i="33" s="1"/>
  <c r="W19" i="33" s="1"/>
  <c r="X19" i="33" s="1"/>
  <c r="U20" i="33"/>
  <c r="U21" i="33"/>
  <c r="V21" i="33" s="1"/>
  <c r="W21" i="33" s="1"/>
  <c r="X21" i="33" s="1"/>
  <c r="U24" i="33"/>
  <c r="V24" i="33" s="1"/>
  <c r="W24" i="33" s="1"/>
  <c r="X24" i="33" s="1"/>
  <c r="U28" i="33"/>
  <c r="V28" i="33" s="1"/>
  <c r="W28" i="33" s="1"/>
  <c r="X28" i="33" s="1"/>
  <c r="U34" i="33"/>
  <c r="V34" i="33" s="1"/>
  <c r="W34" i="33" s="1"/>
  <c r="X34" i="33" s="1"/>
  <c r="U35" i="33"/>
  <c r="V35" i="33" s="1"/>
  <c r="W35" i="33" s="1"/>
  <c r="X35" i="33" s="1"/>
  <c r="U36" i="33"/>
  <c r="V36" i="33" s="1"/>
  <c r="W36" i="33" s="1"/>
  <c r="X36" i="33" s="1"/>
  <c r="V8" i="33"/>
  <c r="W8" i="33" s="1"/>
  <c r="X8" i="33" s="1"/>
  <c r="V20" i="33"/>
  <c r="W20" i="33" s="1"/>
  <c r="X20" i="33" s="1"/>
  <c r="Y6" i="33"/>
  <c r="Y7" i="33"/>
  <c r="Y8" i="33"/>
  <c r="Y9" i="33"/>
  <c r="Y10" i="33"/>
  <c r="Y11" i="33"/>
  <c r="Y12" i="33"/>
  <c r="AB12" i="33" s="1"/>
  <c r="Y13" i="33"/>
  <c r="Y14" i="33"/>
  <c r="Y15" i="33"/>
  <c r="Y16" i="33"/>
  <c r="Y17" i="33"/>
  <c r="AB17" i="33" s="1"/>
  <c r="AE17" i="33" s="1"/>
  <c r="AF17" i="33" s="1"/>
  <c r="AD17" i="33" s="1"/>
  <c r="AL17" i="33" s="1"/>
  <c r="Y18" i="33"/>
  <c r="Y19" i="33"/>
  <c r="Y20" i="33"/>
  <c r="Y21" i="33"/>
  <c r="Y22" i="33"/>
  <c r="Y23" i="33"/>
  <c r="Y24" i="33"/>
  <c r="Y25" i="33"/>
  <c r="Y26" i="33"/>
  <c r="Y27" i="33"/>
  <c r="Y28" i="33"/>
  <c r="AB28" i="33" s="1"/>
  <c r="Y29" i="33"/>
  <c r="Y30" i="33"/>
  <c r="Y31" i="33"/>
  <c r="Y32" i="33"/>
  <c r="Y33" i="33"/>
  <c r="AB33" i="33" s="1"/>
  <c r="AE33" i="33" s="1"/>
  <c r="Y34" i="33"/>
  <c r="Y35" i="33"/>
  <c r="Y36" i="33"/>
  <c r="Y37" i="33"/>
  <c r="Y38" i="33"/>
  <c r="Y39" i="33"/>
  <c r="Y40" i="33"/>
  <c r="Y41" i="33"/>
  <c r="AB41" i="33" s="1"/>
  <c r="AE41" i="33" s="1"/>
  <c r="Y42" i="33"/>
  <c r="Y43" i="33"/>
  <c r="Y44" i="33"/>
  <c r="Y45" i="33"/>
  <c r="Y46" i="33"/>
  <c r="Y47" i="33"/>
  <c r="Y48" i="33"/>
  <c r="Y49" i="33"/>
  <c r="AB49" i="33" s="1"/>
  <c r="AE49" i="33" s="1"/>
  <c r="Y50" i="33"/>
  <c r="Y51" i="33"/>
  <c r="Z6" i="33"/>
  <c r="AB6" i="33" s="1"/>
  <c r="Z7" i="33"/>
  <c r="Z8" i="33"/>
  <c r="Z9" i="33"/>
  <c r="Z10" i="33"/>
  <c r="Z11" i="33"/>
  <c r="Z12" i="33"/>
  <c r="Z13" i="33"/>
  <c r="Z14" i="33"/>
  <c r="AB14" i="33" s="1"/>
  <c r="Z15" i="33"/>
  <c r="Z16" i="33"/>
  <c r="Z17" i="33"/>
  <c r="Z18" i="33"/>
  <c r="Z19" i="33"/>
  <c r="Z20" i="33"/>
  <c r="AB20" i="33" s="1"/>
  <c r="Z21" i="33"/>
  <c r="Z22" i="33"/>
  <c r="AB22" i="33" s="1"/>
  <c r="Z23" i="33"/>
  <c r="Z24" i="33"/>
  <c r="Z25" i="33"/>
  <c r="Z26" i="33"/>
  <c r="Z27" i="33"/>
  <c r="Z28" i="33"/>
  <c r="Z29" i="33"/>
  <c r="Z30" i="33"/>
  <c r="AB30" i="33" s="1"/>
  <c r="Z31" i="33"/>
  <c r="Z32" i="33"/>
  <c r="Z33" i="33"/>
  <c r="Z34" i="33"/>
  <c r="Z35" i="33"/>
  <c r="Z36" i="33"/>
  <c r="Z37" i="33"/>
  <c r="Z38" i="33"/>
  <c r="AB38" i="33" s="1"/>
  <c r="Z39" i="33"/>
  <c r="Z40" i="33"/>
  <c r="Z41" i="33"/>
  <c r="Z42" i="33"/>
  <c r="Z43" i="33"/>
  <c r="Z44" i="33"/>
  <c r="Z45" i="33"/>
  <c r="Z46" i="33"/>
  <c r="AB46" i="33" s="1"/>
  <c r="Z47" i="33"/>
  <c r="Z48" i="33"/>
  <c r="Z49" i="33"/>
  <c r="Z50" i="33"/>
  <c r="Z51" i="33"/>
  <c r="AA6" i="33"/>
  <c r="AA7" i="33"/>
  <c r="AA8" i="33"/>
  <c r="AA9" i="33"/>
  <c r="AA10" i="33"/>
  <c r="AA11" i="33"/>
  <c r="AA12" i="33"/>
  <c r="AA13" i="33"/>
  <c r="AA14" i="33"/>
  <c r="AA15" i="33"/>
  <c r="AA16" i="33"/>
  <c r="AA17" i="33"/>
  <c r="AA18" i="33"/>
  <c r="AA19" i="33"/>
  <c r="AA20" i="33"/>
  <c r="AA21" i="33"/>
  <c r="AA22" i="33"/>
  <c r="AA23" i="33"/>
  <c r="AA24" i="33"/>
  <c r="AA25" i="33"/>
  <c r="AA26" i="33"/>
  <c r="AA27" i="33"/>
  <c r="AA28" i="33"/>
  <c r="AA29" i="33"/>
  <c r="AA30" i="33"/>
  <c r="AA31" i="33"/>
  <c r="AA32" i="33"/>
  <c r="AA33" i="33"/>
  <c r="AA34" i="33"/>
  <c r="AA35" i="33"/>
  <c r="AA36" i="33"/>
  <c r="AA37" i="33"/>
  <c r="AA38" i="33"/>
  <c r="AA39" i="33"/>
  <c r="AA40" i="33"/>
  <c r="AA41" i="33"/>
  <c r="AA42" i="33"/>
  <c r="AA43" i="33"/>
  <c r="AA44" i="33"/>
  <c r="AA45" i="33"/>
  <c r="AA46" i="33"/>
  <c r="AA47" i="33"/>
  <c r="AA48" i="33"/>
  <c r="AA49" i="33"/>
  <c r="AA50" i="33"/>
  <c r="AA51" i="33"/>
  <c r="AB9" i="33"/>
  <c r="AE9" i="33" s="1"/>
  <c r="AF9" i="33" s="1"/>
  <c r="AB25" i="33"/>
  <c r="AE25" i="33" s="1"/>
  <c r="AF25" i="33" s="1"/>
  <c r="AD25" i="33" s="1"/>
  <c r="AL25" i="33" s="1"/>
  <c r="AB31" i="33"/>
  <c r="AE31" i="33" s="1"/>
  <c r="AB36" i="33"/>
  <c r="AE36" i="33" s="1"/>
  <c r="AB44" i="33"/>
  <c r="AE44" i="33" s="1"/>
  <c r="AH6" i="33"/>
  <c r="AH7" i="33"/>
  <c r="AH8" i="33"/>
  <c r="AH9" i="33"/>
  <c r="AH10" i="33"/>
  <c r="AH11" i="33"/>
  <c r="AH12" i="33"/>
  <c r="AH13" i="33"/>
  <c r="AH14" i="33"/>
  <c r="AH15" i="33"/>
  <c r="AH16" i="33"/>
  <c r="AH17" i="33"/>
  <c r="AH18" i="33"/>
  <c r="AH19" i="33"/>
  <c r="AH20" i="33"/>
  <c r="AH21" i="33"/>
  <c r="AH22" i="33"/>
  <c r="AH23" i="33"/>
  <c r="AH24" i="33"/>
  <c r="AH25" i="33"/>
  <c r="AH26" i="33"/>
  <c r="AH27" i="33"/>
  <c r="AH28" i="33"/>
  <c r="AH29" i="33"/>
  <c r="AH30" i="33"/>
  <c r="AH31" i="33"/>
  <c r="AH32" i="33"/>
  <c r="AH33" i="33"/>
  <c r="AH34" i="33"/>
  <c r="AH35" i="33"/>
  <c r="AH36" i="33"/>
  <c r="AH37" i="33"/>
  <c r="AH38" i="33"/>
  <c r="AH39" i="33"/>
  <c r="AH40" i="33"/>
  <c r="AH41" i="33"/>
  <c r="AH42" i="33"/>
  <c r="AH43" i="33"/>
  <c r="AH44" i="33"/>
  <c r="AH45" i="33"/>
  <c r="AH46" i="33"/>
  <c r="AH47" i="33"/>
  <c r="AH48" i="33"/>
  <c r="AH49" i="33"/>
  <c r="AH50" i="33"/>
  <c r="AH51" i="33"/>
  <c r="AI6" i="33"/>
  <c r="AK6" i="33" s="1"/>
  <c r="AI7" i="33"/>
  <c r="AK7" i="33" s="1"/>
  <c r="AI8" i="33"/>
  <c r="AK8" i="33" s="1"/>
  <c r="AI9" i="33"/>
  <c r="AK9" i="33" s="1"/>
  <c r="AI10" i="33"/>
  <c r="AK10" i="33" s="1"/>
  <c r="AI11" i="33"/>
  <c r="AI12" i="33"/>
  <c r="AK12" i="33" s="1"/>
  <c r="AI13" i="33"/>
  <c r="AK13" i="33" s="1"/>
  <c r="AI14" i="33"/>
  <c r="AK14" i="33" s="1"/>
  <c r="AI15" i="33"/>
  <c r="AK15" i="33" s="1"/>
  <c r="AI16" i="33"/>
  <c r="AK16" i="33" s="1"/>
  <c r="AI17" i="33"/>
  <c r="AK17" i="33" s="1"/>
  <c r="AI18" i="33"/>
  <c r="AK18" i="33" s="1"/>
  <c r="AI19" i="33"/>
  <c r="AI20" i="33"/>
  <c r="AK20" i="33" s="1"/>
  <c r="AI21" i="33"/>
  <c r="AK21" i="33" s="1"/>
  <c r="AI22" i="33"/>
  <c r="AK22" i="33" s="1"/>
  <c r="AI23" i="33"/>
  <c r="AK23" i="33" s="1"/>
  <c r="AI24" i="33"/>
  <c r="AK24" i="33" s="1"/>
  <c r="AI25" i="33"/>
  <c r="AK25" i="33" s="1"/>
  <c r="AI26" i="33"/>
  <c r="AK26" i="33" s="1"/>
  <c r="AI27" i="33"/>
  <c r="AI28" i="33"/>
  <c r="AK28" i="33" s="1"/>
  <c r="AI29" i="33"/>
  <c r="AK29" i="33" s="1"/>
  <c r="AI30" i="33"/>
  <c r="AK30" i="33" s="1"/>
  <c r="AI31" i="33"/>
  <c r="AK31" i="33" s="1"/>
  <c r="AI32" i="33"/>
  <c r="AK32" i="33" s="1"/>
  <c r="AI33" i="33"/>
  <c r="AI34" i="33"/>
  <c r="AK34" i="33" s="1"/>
  <c r="AI35" i="33"/>
  <c r="AI36" i="33"/>
  <c r="AK36" i="33" s="1"/>
  <c r="AI37" i="33"/>
  <c r="AK37" i="33" s="1"/>
  <c r="AI38" i="33"/>
  <c r="AK38" i="33" s="1"/>
  <c r="AG38" i="33" s="1"/>
  <c r="AI39" i="33"/>
  <c r="AK39" i="33" s="1"/>
  <c r="AI40" i="33"/>
  <c r="AK40" i="33" s="1"/>
  <c r="AI41" i="33"/>
  <c r="AI42" i="33"/>
  <c r="AK42" i="33" s="1"/>
  <c r="AI43" i="33"/>
  <c r="AI44" i="33"/>
  <c r="AK44" i="33" s="1"/>
  <c r="AI45" i="33"/>
  <c r="AK45" i="33" s="1"/>
  <c r="AI46" i="33"/>
  <c r="AK46" i="33" s="1"/>
  <c r="AI47" i="33"/>
  <c r="AK47" i="33" s="1"/>
  <c r="AI48" i="33"/>
  <c r="AK48" i="33" s="1"/>
  <c r="AI49" i="33"/>
  <c r="AK49" i="33" s="1"/>
  <c r="AI50" i="33"/>
  <c r="AK50" i="33" s="1"/>
  <c r="AI51" i="33"/>
  <c r="AJ6" i="33"/>
  <c r="AM6" i="33" s="1"/>
  <c r="AJ9" i="33"/>
  <c r="AM9" i="33" s="1"/>
  <c r="AJ10" i="33"/>
  <c r="AM10" i="33" s="1"/>
  <c r="AJ12" i="33"/>
  <c r="AM12" i="33" s="1"/>
  <c r="AJ14" i="33"/>
  <c r="AJ17" i="33"/>
  <c r="AM17" i="33" s="1"/>
  <c r="AN17" i="33" s="1"/>
  <c r="AO17" i="33" s="1"/>
  <c r="AJ18" i="33"/>
  <c r="AM18" i="33" s="1"/>
  <c r="AJ20" i="33"/>
  <c r="AM20" i="33" s="1"/>
  <c r="AJ21" i="33"/>
  <c r="AM21" i="33" s="1"/>
  <c r="AJ22" i="33"/>
  <c r="AM22" i="33" s="1"/>
  <c r="AJ25" i="33"/>
  <c r="AM25" i="33" s="1"/>
  <c r="AJ26" i="33"/>
  <c r="AM26" i="33" s="1"/>
  <c r="AJ28" i="33"/>
  <c r="AM28" i="33" s="1"/>
  <c r="AJ30" i="33"/>
  <c r="AJ33" i="33"/>
  <c r="AJ34" i="33"/>
  <c r="AJ36" i="33"/>
  <c r="AM36" i="33" s="1"/>
  <c r="AJ38" i="33"/>
  <c r="AJ41" i="33"/>
  <c r="AM41" i="33" s="1"/>
  <c r="AN41" i="33" s="1"/>
  <c r="AO41" i="33" s="1"/>
  <c r="AJ42" i="33"/>
  <c r="AM42" i="33" s="1"/>
  <c r="AJ44" i="33"/>
  <c r="AM44" i="33" s="1"/>
  <c r="AJ46" i="33"/>
  <c r="AM46" i="33" s="1"/>
  <c r="AJ49" i="33"/>
  <c r="AJ50" i="33"/>
  <c r="AK11" i="33"/>
  <c r="AK19" i="33"/>
  <c r="AK27" i="33"/>
  <c r="AK33" i="33"/>
  <c r="AK35" i="33"/>
  <c r="AK41" i="33"/>
  <c r="AK43" i="33"/>
  <c r="AK51" i="33"/>
  <c r="AM14" i="33"/>
  <c r="AM30" i="33"/>
  <c r="AM33" i="33"/>
  <c r="AN33" i="33" s="1"/>
  <c r="AO33" i="33" s="1"/>
  <c r="AM34" i="33"/>
  <c r="AM38" i="33"/>
  <c r="AM49" i="33"/>
  <c r="AM50" i="33"/>
  <c r="AR25" i="33"/>
  <c r="AV9" i="33"/>
  <c r="AW9" i="33"/>
  <c r="AX6" i="33"/>
  <c r="AX7" i="33"/>
  <c r="AX8" i="33"/>
  <c r="BO8" i="33" s="1"/>
  <c r="BR8" i="33" s="1"/>
  <c r="AX9" i="33"/>
  <c r="BO9" i="33" s="1"/>
  <c r="BR9" i="33" s="1"/>
  <c r="BS9" i="33" s="1"/>
  <c r="BT9" i="33" s="1"/>
  <c r="AX10" i="33"/>
  <c r="AX11" i="33"/>
  <c r="AX12" i="33"/>
  <c r="BO12" i="33" s="1"/>
  <c r="BR12" i="33" s="1"/>
  <c r="AX13" i="33"/>
  <c r="BO13" i="33" s="1"/>
  <c r="BR13" i="33" s="1"/>
  <c r="AX14" i="33"/>
  <c r="AX15" i="33"/>
  <c r="AX16" i="33"/>
  <c r="AX17" i="33"/>
  <c r="BO17" i="33" s="1"/>
  <c r="BR17" i="33" s="1"/>
  <c r="BS17" i="33" s="1"/>
  <c r="BT17" i="33" s="1"/>
  <c r="BU17" i="33" s="1"/>
  <c r="AX18" i="33"/>
  <c r="AX19" i="33"/>
  <c r="AX20" i="33"/>
  <c r="BO20" i="33" s="1"/>
  <c r="BR20" i="33" s="1"/>
  <c r="AX21" i="33"/>
  <c r="BO21" i="33" s="1"/>
  <c r="AX22" i="33"/>
  <c r="AX23" i="33"/>
  <c r="AX24" i="33"/>
  <c r="BO24" i="33" s="1"/>
  <c r="BR24" i="33" s="1"/>
  <c r="AX25" i="33"/>
  <c r="AX26" i="33"/>
  <c r="AX27" i="33"/>
  <c r="AX28" i="33"/>
  <c r="BO28" i="33" s="1"/>
  <c r="AX29" i="33"/>
  <c r="BO29" i="33" s="1"/>
  <c r="BR29" i="33" s="1"/>
  <c r="AX30" i="33"/>
  <c r="AX31" i="33"/>
  <c r="AX32" i="33"/>
  <c r="BO32" i="33" s="1"/>
  <c r="BR32" i="33" s="1"/>
  <c r="AX33" i="33"/>
  <c r="BO33" i="33" s="1"/>
  <c r="BR33" i="33" s="1"/>
  <c r="BS33" i="33" s="1"/>
  <c r="BT33" i="33" s="1"/>
  <c r="AX34" i="33"/>
  <c r="AX35" i="33"/>
  <c r="AX36" i="33"/>
  <c r="BO36" i="33" s="1"/>
  <c r="BR36" i="33" s="1"/>
  <c r="AX37" i="33"/>
  <c r="BO37" i="33" s="1"/>
  <c r="BR37" i="33" s="1"/>
  <c r="AX38" i="33"/>
  <c r="AX39" i="33"/>
  <c r="AX40" i="33"/>
  <c r="BO40" i="33" s="1"/>
  <c r="BR40" i="33" s="1"/>
  <c r="AX41" i="33"/>
  <c r="BO41" i="33" s="1"/>
  <c r="BR41" i="33" s="1"/>
  <c r="AX42" i="33"/>
  <c r="AX43" i="33"/>
  <c r="AX44" i="33"/>
  <c r="BO44" i="33" s="1"/>
  <c r="AX45" i="33"/>
  <c r="BO45" i="33" s="1"/>
  <c r="BR45" i="33" s="1"/>
  <c r="AX46" i="33"/>
  <c r="AX47" i="33"/>
  <c r="AX48" i="33"/>
  <c r="AX49" i="33"/>
  <c r="AX50" i="33"/>
  <c r="AX51" i="33"/>
  <c r="AY6" i="33"/>
  <c r="AZ6" i="33" s="1"/>
  <c r="BA6" i="33" s="1"/>
  <c r="BB6" i="33" s="1"/>
  <c r="BC6" i="33" s="1"/>
  <c r="AY7" i="33"/>
  <c r="AZ7" i="33" s="1"/>
  <c r="BA7" i="33" s="1"/>
  <c r="BB7" i="33" s="1"/>
  <c r="BC7" i="33" s="1"/>
  <c r="AY8" i="33"/>
  <c r="AY9" i="33"/>
  <c r="AZ9" i="33" s="1"/>
  <c r="BA9" i="33" s="1"/>
  <c r="BB9" i="33" s="1"/>
  <c r="BC9" i="33" s="1"/>
  <c r="AY10" i="33"/>
  <c r="AZ10" i="33" s="1"/>
  <c r="BA10" i="33" s="1"/>
  <c r="BB10" i="33" s="1"/>
  <c r="BC10" i="33" s="1"/>
  <c r="AY11" i="33"/>
  <c r="AZ11" i="33" s="1"/>
  <c r="BA11" i="33" s="1"/>
  <c r="BB11" i="33" s="1"/>
  <c r="BC11" i="33" s="1"/>
  <c r="AY12" i="33"/>
  <c r="AZ12" i="33" s="1"/>
  <c r="BA12" i="33" s="1"/>
  <c r="AY13" i="33"/>
  <c r="AY14" i="33"/>
  <c r="AZ14" i="33" s="1"/>
  <c r="BA14" i="33" s="1"/>
  <c r="BB14" i="33" s="1"/>
  <c r="BC14" i="33" s="1"/>
  <c r="AY15" i="33"/>
  <c r="AZ15" i="33" s="1"/>
  <c r="BA15" i="33" s="1"/>
  <c r="BB15" i="33" s="1"/>
  <c r="BC15" i="33" s="1"/>
  <c r="AY16" i="33"/>
  <c r="AY17" i="33"/>
  <c r="AZ17" i="33" s="1"/>
  <c r="BA17" i="33" s="1"/>
  <c r="BB17" i="33" s="1"/>
  <c r="BC17" i="33" s="1"/>
  <c r="AY18" i="33"/>
  <c r="AZ18" i="33" s="1"/>
  <c r="BA18" i="33" s="1"/>
  <c r="BB18" i="33" s="1"/>
  <c r="BC18" i="33" s="1"/>
  <c r="AY19" i="33"/>
  <c r="AZ19" i="33" s="1"/>
  <c r="BA19" i="33" s="1"/>
  <c r="BB19" i="33" s="1"/>
  <c r="BC19" i="33" s="1"/>
  <c r="AY20" i="33"/>
  <c r="AZ20" i="33" s="1"/>
  <c r="BA20" i="33" s="1"/>
  <c r="AY21" i="33"/>
  <c r="AY22" i="33"/>
  <c r="AZ22" i="33" s="1"/>
  <c r="BA22" i="33" s="1"/>
  <c r="BB22" i="33" s="1"/>
  <c r="BC22" i="33" s="1"/>
  <c r="AY23" i="33"/>
  <c r="AZ23" i="33" s="1"/>
  <c r="BA23" i="33" s="1"/>
  <c r="BB23" i="33" s="1"/>
  <c r="BC23" i="33" s="1"/>
  <c r="AY24" i="33"/>
  <c r="AZ24" i="33" s="1"/>
  <c r="BA24" i="33" s="1"/>
  <c r="BB24" i="33" s="1"/>
  <c r="BC24" i="33" s="1"/>
  <c r="AY25" i="33"/>
  <c r="AZ25" i="33" s="1"/>
  <c r="BA25" i="33" s="1"/>
  <c r="BB25" i="33" s="1"/>
  <c r="BC25" i="33" s="1"/>
  <c r="AY26" i="33"/>
  <c r="AZ26" i="33" s="1"/>
  <c r="BA26" i="33" s="1"/>
  <c r="BB26" i="33" s="1"/>
  <c r="BC26" i="33" s="1"/>
  <c r="AY27" i="33"/>
  <c r="AZ27" i="33" s="1"/>
  <c r="BA27" i="33" s="1"/>
  <c r="BB27" i="33" s="1"/>
  <c r="BC27" i="33" s="1"/>
  <c r="AY28" i="33"/>
  <c r="AZ28" i="33" s="1"/>
  <c r="BA28" i="33" s="1"/>
  <c r="AY29" i="33"/>
  <c r="AY30" i="33"/>
  <c r="AZ30" i="33" s="1"/>
  <c r="BA30" i="33" s="1"/>
  <c r="BB30" i="33" s="1"/>
  <c r="BC30" i="33" s="1"/>
  <c r="AY31" i="33"/>
  <c r="AZ31" i="33" s="1"/>
  <c r="BA31" i="33" s="1"/>
  <c r="BB31" i="33" s="1"/>
  <c r="BC31" i="33" s="1"/>
  <c r="AY32" i="33"/>
  <c r="AY33" i="33"/>
  <c r="AZ33" i="33" s="1"/>
  <c r="BA33" i="33" s="1"/>
  <c r="BB33" i="33" s="1"/>
  <c r="AY34" i="33"/>
  <c r="AZ34" i="33" s="1"/>
  <c r="BA34" i="33" s="1"/>
  <c r="BB34" i="33" s="1"/>
  <c r="BC34" i="33" s="1"/>
  <c r="AY35" i="33"/>
  <c r="AZ35" i="33" s="1"/>
  <c r="BA35" i="33" s="1"/>
  <c r="BB35" i="33" s="1"/>
  <c r="BC35" i="33" s="1"/>
  <c r="AY36" i="33"/>
  <c r="AZ36" i="33" s="1"/>
  <c r="BA36" i="33" s="1"/>
  <c r="BB36" i="33" s="1"/>
  <c r="BC36" i="33" s="1"/>
  <c r="AY37" i="33"/>
  <c r="AY38" i="33"/>
  <c r="AZ38" i="33" s="1"/>
  <c r="BA38" i="33" s="1"/>
  <c r="BB38" i="33" s="1"/>
  <c r="BC38" i="33" s="1"/>
  <c r="AY39" i="33"/>
  <c r="AZ39" i="33" s="1"/>
  <c r="BA39" i="33" s="1"/>
  <c r="BB39" i="33" s="1"/>
  <c r="BC39" i="33" s="1"/>
  <c r="AY40" i="33"/>
  <c r="AY41" i="33"/>
  <c r="AZ41" i="33" s="1"/>
  <c r="BA41" i="33" s="1"/>
  <c r="BB41" i="33" s="1"/>
  <c r="BC41" i="33" s="1"/>
  <c r="AY42" i="33"/>
  <c r="AZ42" i="33" s="1"/>
  <c r="BA42" i="33" s="1"/>
  <c r="BB42" i="33" s="1"/>
  <c r="BC42" i="33" s="1"/>
  <c r="AY43" i="33"/>
  <c r="AZ43" i="33" s="1"/>
  <c r="BA43" i="33" s="1"/>
  <c r="BB43" i="33" s="1"/>
  <c r="BC43" i="33" s="1"/>
  <c r="AY44" i="33"/>
  <c r="AZ44" i="33" s="1"/>
  <c r="BA44" i="33" s="1"/>
  <c r="BB44" i="33" s="1"/>
  <c r="BC44" i="33" s="1"/>
  <c r="AY45" i="33"/>
  <c r="AY46" i="33"/>
  <c r="AZ46" i="33" s="1"/>
  <c r="BA46" i="33" s="1"/>
  <c r="BB46" i="33" s="1"/>
  <c r="BC46" i="33" s="1"/>
  <c r="AY47" i="33"/>
  <c r="AZ47" i="33" s="1"/>
  <c r="BA47" i="33" s="1"/>
  <c r="BB47" i="33" s="1"/>
  <c r="BC47" i="33" s="1"/>
  <c r="AY48" i="33"/>
  <c r="AZ48" i="33" s="1"/>
  <c r="BA48" i="33" s="1"/>
  <c r="BB48" i="33" s="1"/>
  <c r="BC48" i="33" s="1"/>
  <c r="AY49" i="33"/>
  <c r="AZ49" i="33" s="1"/>
  <c r="BA49" i="33" s="1"/>
  <c r="BB49" i="33" s="1"/>
  <c r="BC49" i="33" s="1"/>
  <c r="AY50" i="33"/>
  <c r="AZ50" i="33" s="1"/>
  <c r="BA50" i="33" s="1"/>
  <c r="BB50" i="33" s="1"/>
  <c r="BC50" i="33" s="1"/>
  <c r="AY51" i="33"/>
  <c r="AZ51" i="33" s="1"/>
  <c r="BA51" i="33" s="1"/>
  <c r="BB51" i="33" s="1"/>
  <c r="BC51" i="33" s="1"/>
  <c r="AZ8" i="33"/>
  <c r="BA8" i="33" s="1"/>
  <c r="BB8" i="33" s="1"/>
  <c r="BC8" i="33" s="1"/>
  <c r="AZ13" i="33"/>
  <c r="BA13" i="33" s="1"/>
  <c r="BB13" i="33" s="1"/>
  <c r="BC13" i="33" s="1"/>
  <c r="AZ16" i="33"/>
  <c r="BA16" i="33" s="1"/>
  <c r="BB16" i="33" s="1"/>
  <c r="BC16" i="33" s="1"/>
  <c r="AZ21" i="33"/>
  <c r="BA21" i="33" s="1"/>
  <c r="BB21" i="33" s="1"/>
  <c r="BC21" i="33" s="1"/>
  <c r="AZ29" i="33"/>
  <c r="AZ32" i="33"/>
  <c r="BA32" i="33" s="1"/>
  <c r="BB32" i="33" s="1"/>
  <c r="BC32" i="33" s="1"/>
  <c r="AZ37" i="33"/>
  <c r="BA37" i="33" s="1"/>
  <c r="BB37" i="33" s="1"/>
  <c r="BC37" i="33" s="1"/>
  <c r="AZ40" i="33"/>
  <c r="BA40" i="33" s="1"/>
  <c r="BB40" i="33" s="1"/>
  <c r="BC40" i="33" s="1"/>
  <c r="AZ45" i="33"/>
  <c r="BA45" i="33" s="1"/>
  <c r="BB45" i="33" s="1"/>
  <c r="BC45" i="33" s="1"/>
  <c r="BA29" i="33"/>
  <c r="BB29" i="33" s="1"/>
  <c r="BC29" i="33" s="1"/>
  <c r="BB12" i="33"/>
  <c r="BC12" i="33" s="1"/>
  <c r="BB20" i="33"/>
  <c r="BC20" i="33" s="1"/>
  <c r="BB28" i="33"/>
  <c r="BC28" i="33" s="1"/>
  <c r="BC33" i="33"/>
  <c r="BD6" i="33"/>
  <c r="BD7" i="33"/>
  <c r="BD8" i="33"/>
  <c r="BD9" i="33"/>
  <c r="BD10" i="33"/>
  <c r="BD11" i="33"/>
  <c r="BD12" i="33"/>
  <c r="BD13" i="33"/>
  <c r="BD14" i="33"/>
  <c r="BD15" i="33"/>
  <c r="BD16" i="33"/>
  <c r="BD17" i="33"/>
  <c r="BD18" i="33"/>
  <c r="BD19" i="33"/>
  <c r="BD20" i="33"/>
  <c r="BD21" i="33"/>
  <c r="BD22" i="33"/>
  <c r="BD23" i="33"/>
  <c r="BD24" i="33"/>
  <c r="BD25" i="33"/>
  <c r="BD26" i="33"/>
  <c r="BD27" i="33"/>
  <c r="BD28" i="33"/>
  <c r="BD29" i="33"/>
  <c r="BD30" i="33"/>
  <c r="BD31" i="33"/>
  <c r="BD32" i="33"/>
  <c r="BD33" i="33"/>
  <c r="BD34" i="33"/>
  <c r="BD35" i="33"/>
  <c r="BD36" i="33"/>
  <c r="BD37" i="33"/>
  <c r="BD38" i="33"/>
  <c r="BD39" i="33"/>
  <c r="BD40" i="33"/>
  <c r="BD41" i="33"/>
  <c r="BD42" i="33"/>
  <c r="BD43" i="33"/>
  <c r="BD44" i="33"/>
  <c r="BD45" i="33"/>
  <c r="BD46" i="33"/>
  <c r="BD47" i="33"/>
  <c r="BD48" i="33"/>
  <c r="BD49" i="33"/>
  <c r="BD50" i="33"/>
  <c r="BD51" i="33"/>
  <c r="BE6" i="33"/>
  <c r="BE7" i="33"/>
  <c r="BE8" i="33"/>
  <c r="BE9" i="33"/>
  <c r="BG9" i="33" s="1"/>
  <c r="BJ9" i="33" s="1"/>
  <c r="BE10" i="33"/>
  <c r="BE11" i="33"/>
  <c r="BE12" i="33"/>
  <c r="BE13" i="33"/>
  <c r="BE14" i="33"/>
  <c r="BE15" i="33"/>
  <c r="BE16" i="33"/>
  <c r="BE17" i="33"/>
  <c r="BE18" i="33"/>
  <c r="BE19" i="33"/>
  <c r="BE20" i="33"/>
  <c r="BG20" i="33" s="1"/>
  <c r="BE21" i="33"/>
  <c r="BE22" i="33"/>
  <c r="BE23" i="33"/>
  <c r="BE24" i="33"/>
  <c r="BE25" i="33"/>
  <c r="BE26" i="33"/>
  <c r="BE27" i="33"/>
  <c r="BE28" i="33"/>
  <c r="BG28" i="33" s="1"/>
  <c r="BE29" i="33"/>
  <c r="BE30" i="33"/>
  <c r="BE31" i="33"/>
  <c r="BE32" i="33"/>
  <c r="BE33" i="33"/>
  <c r="BG33" i="33" s="1"/>
  <c r="BE34" i="33"/>
  <c r="BE35" i="33"/>
  <c r="BE36" i="33"/>
  <c r="BE37" i="33"/>
  <c r="BE38" i="33"/>
  <c r="BE39" i="33"/>
  <c r="BE40" i="33"/>
  <c r="BE41" i="33"/>
  <c r="BE42" i="33"/>
  <c r="BE43" i="33"/>
  <c r="BE44" i="33"/>
  <c r="BG44" i="33" s="1"/>
  <c r="BE45" i="33"/>
  <c r="BE46" i="33"/>
  <c r="BE47" i="33"/>
  <c r="BE48" i="33"/>
  <c r="BE49" i="33"/>
  <c r="BE50" i="33"/>
  <c r="BE51" i="33"/>
  <c r="BF6" i="33"/>
  <c r="BF7" i="33"/>
  <c r="BF8" i="33"/>
  <c r="BF9" i="33"/>
  <c r="BF10" i="33"/>
  <c r="BF11" i="33"/>
  <c r="BF12" i="33"/>
  <c r="BF13" i="33"/>
  <c r="BF14" i="33"/>
  <c r="BF15" i="33"/>
  <c r="BF16" i="33"/>
  <c r="BF17" i="33"/>
  <c r="BF18" i="33"/>
  <c r="BF19" i="33"/>
  <c r="BF20" i="33"/>
  <c r="BF21" i="33"/>
  <c r="BF22" i="33"/>
  <c r="BF23" i="33"/>
  <c r="BF24" i="33"/>
  <c r="BF25" i="33"/>
  <c r="BF26" i="33"/>
  <c r="BF27" i="33"/>
  <c r="BF28" i="33"/>
  <c r="BF29" i="33"/>
  <c r="BF30" i="33"/>
  <c r="BF31" i="33"/>
  <c r="BF32" i="33"/>
  <c r="BF33" i="33"/>
  <c r="BF34" i="33"/>
  <c r="BF35" i="33"/>
  <c r="BF36" i="33"/>
  <c r="BF37" i="33"/>
  <c r="BF38" i="33"/>
  <c r="BF39" i="33"/>
  <c r="BF40" i="33"/>
  <c r="BF41" i="33"/>
  <c r="BF42" i="33"/>
  <c r="BF43" i="33"/>
  <c r="BF44" i="33"/>
  <c r="BF45" i="33"/>
  <c r="BF46" i="33"/>
  <c r="BF47" i="33"/>
  <c r="BF48" i="33"/>
  <c r="BF49" i="33"/>
  <c r="BF50" i="33"/>
  <c r="BF51" i="33"/>
  <c r="BG6" i="33"/>
  <c r="BG12" i="33"/>
  <c r="BG14" i="33"/>
  <c r="BH14" i="33" s="1"/>
  <c r="BG17" i="33"/>
  <c r="BG22" i="33"/>
  <c r="BJ22" i="33" s="1"/>
  <c r="BG25" i="33"/>
  <c r="BH25" i="33" s="1"/>
  <c r="BG30" i="33"/>
  <c r="BG36" i="33"/>
  <c r="BG38" i="33"/>
  <c r="BG41" i="33"/>
  <c r="BJ41" i="33" s="1"/>
  <c r="BK41" i="33" s="1"/>
  <c r="BI41" i="33" s="1"/>
  <c r="BG46" i="33"/>
  <c r="BH46" i="33" s="1"/>
  <c r="BG49" i="33"/>
  <c r="BJ49" i="33" s="1"/>
  <c r="BH22" i="33"/>
  <c r="BQ22" i="33" s="1"/>
  <c r="BJ17" i="33"/>
  <c r="BK17" i="33" s="1"/>
  <c r="BM6" i="33"/>
  <c r="BM7" i="33"/>
  <c r="BM8" i="33"/>
  <c r="BM9" i="33"/>
  <c r="BM10" i="33"/>
  <c r="BM11" i="33"/>
  <c r="BM12" i="33"/>
  <c r="BM13" i="33"/>
  <c r="BM14" i="33"/>
  <c r="BM15" i="33"/>
  <c r="BM16" i="33"/>
  <c r="BM17" i="33"/>
  <c r="BM18" i="33"/>
  <c r="BM19" i="33"/>
  <c r="BM20" i="33"/>
  <c r="BM21" i="33"/>
  <c r="BM22" i="33"/>
  <c r="BM23" i="33"/>
  <c r="BM24" i="33"/>
  <c r="BM25" i="33"/>
  <c r="BM26" i="33"/>
  <c r="BM27" i="33"/>
  <c r="BM28" i="33"/>
  <c r="BM29" i="33"/>
  <c r="BM30" i="33"/>
  <c r="BM31" i="33"/>
  <c r="BM32" i="33"/>
  <c r="BM33" i="33"/>
  <c r="BM34" i="33"/>
  <c r="BM35" i="33"/>
  <c r="BM36" i="33"/>
  <c r="BM37" i="33"/>
  <c r="BM38" i="33"/>
  <c r="BM39" i="33"/>
  <c r="BM40" i="33"/>
  <c r="BM41" i="33"/>
  <c r="BM42" i="33"/>
  <c r="BM43" i="33"/>
  <c r="BM44" i="33"/>
  <c r="BM45" i="33"/>
  <c r="BM46" i="33"/>
  <c r="BM47" i="33"/>
  <c r="BM48" i="33"/>
  <c r="BM49" i="33"/>
  <c r="BM50" i="33"/>
  <c r="BM51" i="33"/>
  <c r="BN6" i="33"/>
  <c r="BP6" i="33" s="1"/>
  <c r="BN7" i="33"/>
  <c r="BN8" i="33"/>
  <c r="BP8" i="33" s="1"/>
  <c r="BN9" i="33"/>
  <c r="BP9" i="33" s="1"/>
  <c r="BN10" i="33"/>
  <c r="BP10" i="33" s="1"/>
  <c r="BN11" i="33"/>
  <c r="BP11" i="33" s="1"/>
  <c r="BN12" i="33"/>
  <c r="BP12" i="33" s="1"/>
  <c r="BL12" i="33" s="1"/>
  <c r="BN13" i="33"/>
  <c r="BN14" i="33"/>
  <c r="BN15" i="33"/>
  <c r="BP15" i="33" s="1"/>
  <c r="BN16" i="33"/>
  <c r="BP16" i="33" s="1"/>
  <c r="BN17" i="33"/>
  <c r="BP17" i="33" s="1"/>
  <c r="BN18" i="33"/>
  <c r="BP18" i="33" s="1"/>
  <c r="BN19" i="33"/>
  <c r="BP19" i="33" s="1"/>
  <c r="BN20" i="33"/>
  <c r="BP20" i="33" s="1"/>
  <c r="BN21" i="33"/>
  <c r="BN22" i="33"/>
  <c r="BP22" i="33" s="1"/>
  <c r="BN23" i="33"/>
  <c r="BP23" i="33" s="1"/>
  <c r="BN24" i="33"/>
  <c r="BP24" i="33" s="1"/>
  <c r="BN25" i="33"/>
  <c r="BP25" i="33" s="1"/>
  <c r="BN26" i="33"/>
  <c r="BP26" i="33" s="1"/>
  <c r="BN27" i="33"/>
  <c r="BP27" i="33" s="1"/>
  <c r="BN28" i="33"/>
  <c r="BP28" i="33" s="1"/>
  <c r="BN29" i="33"/>
  <c r="BN30" i="33"/>
  <c r="BP30" i="33" s="1"/>
  <c r="BN31" i="33"/>
  <c r="BP31" i="33" s="1"/>
  <c r="BN32" i="33"/>
  <c r="BP32" i="33" s="1"/>
  <c r="BN33" i="33"/>
  <c r="BP33" i="33" s="1"/>
  <c r="BN34" i="33"/>
  <c r="BP34" i="33" s="1"/>
  <c r="BN35" i="33"/>
  <c r="BP35" i="33" s="1"/>
  <c r="BN36" i="33"/>
  <c r="BP36" i="33" s="1"/>
  <c r="BN37" i="33"/>
  <c r="BN38" i="33"/>
  <c r="BP38" i="33" s="1"/>
  <c r="BN39" i="33"/>
  <c r="BP39" i="33" s="1"/>
  <c r="BN40" i="33"/>
  <c r="BP40" i="33" s="1"/>
  <c r="BN41" i="33"/>
  <c r="BP41" i="33" s="1"/>
  <c r="BN42" i="33"/>
  <c r="BP42" i="33" s="1"/>
  <c r="BN43" i="33"/>
  <c r="BP43" i="33" s="1"/>
  <c r="BN44" i="33"/>
  <c r="BP44" i="33" s="1"/>
  <c r="BN45" i="33"/>
  <c r="BN46" i="33"/>
  <c r="BN47" i="33"/>
  <c r="BP47" i="33" s="1"/>
  <c r="BN48" i="33"/>
  <c r="BP48" i="33" s="1"/>
  <c r="BN49" i="33"/>
  <c r="BP49" i="33" s="1"/>
  <c r="BN50" i="33"/>
  <c r="BP50" i="33" s="1"/>
  <c r="BN51" i="33"/>
  <c r="BP51" i="33" s="1"/>
  <c r="BO6" i="33"/>
  <c r="BO7" i="33"/>
  <c r="BO10" i="33"/>
  <c r="BO11" i="33"/>
  <c r="BO14" i="33"/>
  <c r="BO15" i="33"/>
  <c r="BR15" i="33" s="1"/>
  <c r="BO16" i="33"/>
  <c r="BR16" i="33" s="1"/>
  <c r="BO18" i="33"/>
  <c r="BO19" i="33"/>
  <c r="BO22" i="33"/>
  <c r="BO23" i="33"/>
  <c r="BO25" i="33"/>
  <c r="BO26" i="33"/>
  <c r="BO27" i="33"/>
  <c r="BO30" i="33"/>
  <c r="BO31" i="33"/>
  <c r="BO34" i="33"/>
  <c r="BO35" i="33"/>
  <c r="BO38" i="33"/>
  <c r="BO39" i="33"/>
  <c r="BR39" i="33" s="1"/>
  <c r="BO42" i="33"/>
  <c r="BO43" i="33"/>
  <c r="BO46" i="33"/>
  <c r="BO47" i="33"/>
  <c r="BR47" i="33" s="1"/>
  <c r="BO48" i="33"/>
  <c r="BR48" i="33" s="1"/>
  <c r="BS48" i="33" s="1"/>
  <c r="BT48" i="33" s="1"/>
  <c r="BO49" i="33"/>
  <c r="BR49" i="33" s="1"/>
  <c r="BO50" i="33"/>
  <c r="BO51" i="33"/>
  <c r="BP7" i="33"/>
  <c r="BP13" i="33"/>
  <c r="BP14" i="33"/>
  <c r="BP21" i="33"/>
  <c r="BP29" i="33"/>
  <c r="BP37" i="33"/>
  <c r="BP45" i="33"/>
  <c r="BP46" i="33"/>
  <c r="BR7" i="33"/>
  <c r="BR23" i="33"/>
  <c r="BR25" i="33"/>
  <c r="BR31" i="33"/>
  <c r="S6" i="34"/>
  <c r="AJ6" i="34" s="1"/>
  <c r="S7" i="34"/>
  <c r="S8" i="34"/>
  <c r="S9" i="34"/>
  <c r="S10" i="34"/>
  <c r="AJ10" i="34" s="1"/>
  <c r="AM10" i="34" s="1"/>
  <c r="AN10" i="34" s="1"/>
  <c r="AO10" i="34" s="1"/>
  <c r="S11" i="34"/>
  <c r="AB11" i="34" s="1"/>
  <c r="S12" i="34"/>
  <c r="AB12" i="34" s="1"/>
  <c r="AE12" i="34" s="1"/>
  <c r="AF12" i="34" s="1"/>
  <c r="AQ12" i="34" s="1"/>
  <c r="S13" i="34"/>
  <c r="AB13" i="34" s="1"/>
  <c r="AE13" i="34" s="1"/>
  <c r="AF13" i="34" s="1"/>
  <c r="AD13" i="34" s="1"/>
  <c r="S14" i="34"/>
  <c r="AB14" i="34" s="1"/>
  <c r="S15" i="34"/>
  <c r="S16" i="34"/>
  <c r="S17" i="34"/>
  <c r="S18" i="34"/>
  <c r="AJ18" i="34" s="1"/>
  <c r="S19" i="34"/>
  <c r="AB19" i="34" s="1"/>
  <c r="S20" i="34"/>
  <c r="AJ20" i="34" s="1"/>
  <c r="S21" i="34"/>
  <c r="AJ21" i="34" s="1"/>
  <c r="AM21" i="34" s="1"/>
  <c r="S22" i="34"/>
  <c r="AJ22" i="34" s="1"/>
  <c r="S23" i="34"/>
  <c r="S24" i="34"/>
  <c r="S25" i="34"/>
  <c r="S26" i="34"/>
  <c r="S27" i="34"/>
  <c r="AB27" i="34" s="1"/>
  <c r="S28" i="34"/>
  <c r="AJ28" i="34" s="1"/>
  <c r="S29" i="34"/>
  <c r="AJ29" i="34" s="1"/>
  <c r="AM29" i="34" s="1"/>
  <c r="S30" i="34"/>
  <c r="AJ30" i="34" s="1"/>
  <c r="S31" i="34"/>
  <c r="S32" i="34"/>
  <c r="S33" i="34"/>
  <c r="S34" i="34"/>
  <c r="AJ34" i="34" s="1"/>
  <c r="S35" i="34"/>
  <c r="AB35" i="34" s="1"/>
  <c r="S36" i="34"/>
  <c r="AJ36" i="34" s="1"/>
  <c r="S37" i="34"/>
  <c r="AB37" i="34" s="1"/>
  <c r="AC37" i="34" s="1"/>
  <c r="S38" i="34"/>
  <c r="AB38" i="34" s="1"/>
  <c r="S39" i="34"/>
  <c r="S40" i="34"/>
  <c r="S41" i="34"/>
  <c r="S42" i="34"/>
  <c r="AJ42" i="34" s="1"/>
  <c r="S43" i="34"/>
  <c r="AB43" i="34" s="1"/>
  <c r="S44" i="34"/>
  <c r="AJ44" i="34" s="1"/>
  <c r="S45" i="34"/>
  <c r="AJ45" i="34" s="1"/>
  <c r="AM45" i="34" s="1"/>
  <c r="S46" i="34"/>
  <c r="AJ46" i="34" s="1"/>
  <c r="S47" i="34"/>
  <c r="S48" i="34"/>
  <c r="S49" i="34"/>
  <c r="S50" i="34"/>
  <c r="AJ50" i="34" s="1"/>
  <c r="S51" i="34"/>
  <c r="AB51" i="34" s="1"/>
  <c r="S52" i="34"/>
  <c r="AJ52" i="34" s="1"/>
  <c r="T6" i="34"/>
  <c r="U6" i="34" s="1"/>
  <c r="V6" i="34" s="1"/>
  <c r="W6" i="34" s="1"/>
  <c r="X6" i="34" s="1"/>
  <c r="T7" i="34"/>
  <c r="T8" i="34"/>
  <c r="T9" i="34"/>
  <c r="T10" i="34"/>
  <c r="T11" i="34"/>
  <c r="U11" i="34" s="1"/>
  <c r="V11" i="34" s="1"/>
  <c r="W11" i="34" s="1"/>
  <c r="X11" i="34" s="1"/>
  <c r="T12" i="34"/>
  <c r="U12" i="34" s="1"/>
  <c r="V12" i="34" s="1"/>
  <c r="W12" i="34" s="1"/>
  <c r="X12" i="34" s="1"/>
  <c r="T13" i="34"/>
  <c r="U13" i="34" s="1"/>
  <c r="V13" i="34" s="1"/>
  <c r="W13" i="34" s="1"/>
  <c r="X13" i="34" s="1"/>
  <c r="T14" i="34"/>
  <c r="T15" i="34"/>
  <c r="T16" i="34"/>
  <c r="T17" i="34"/>
  <c r="T18" i="34"/>
  <c r="T19" i="34"/>
  <c r="U19" i="34" s="1"/>
  <c r="V19" i="34" s="1"/>
  <c r="W19" i="34" s="1"/>
  <c r="X19" i="34" s="1"/>
  <c r="T20" i="34"/>
  <c r="U20" i="34" s="1"/>
  <c r="V20" i="34" s="1"/>
  <c r="W20" i="34" s="1"/>
  <c r="X20" i="34" s="1"/>
  <c r="T21" i="34"/>
  <c r="U21" i="34" s="1"/>
  <c r="V21" i="34" s="1"/>
  <c r="W21" i="34" s="1"/>
  <c r="X21" i="34" s="1"/>
  <c r="T22" i="34"/>
  <c r="U22" i="34" s="1"/>
  <c r="V22" i="34" s="1"/>
  <c r="W22" i="34" s="1"/>
  <c r="X22" i="34" s="1"/>
  <c r="T23" i="34"/>
  <c r="T24" i="34"/>
  <c r="T25" i="34"/>
  <c r="T26" i="34"/>
  <c r="T27" i="34"/>
  <c r="U27" i="34" s="1"/>
  <c r="V27" i="34" s="1"/>
  <c r="W27" i="34" s="1"/>
  <c r="X27" i="34" s="1"/>
  <c r="T28" i="34"/>
  <c r="U28" i="34" s="1"/>
  <c r="V28" i="34" s="1"/>
  <c r="W28" i="34" s="1"/>
  <c r="X28" i="34" s="1"/>
  <c r="T29" i="34"/>
  <c r="U29" i="34" s="1"/>
  <c r="V29" i="34" s="1"/>
  <c r="W29" i="34" s="1"/>
  <c r="X29" i="34" s="1"/>
  <c r="T30" i="34"/>
  <c r="U30" i="34" s="1"/>
  <c r="V30" i="34" s="1"/>
  <c r="W30" i="34" s="1"/>
  <c r="X30" i="34" s="1"/>
  <c r="T31" i="34"/>
  <c r="U31" i="34" s="1"/>
  <c r="V31" i="34" s="1"/>
  <c r="W31" i="34" s="1"/>
  <c r="X31" i="34" s="1"/>
  <c r="T32" i="34"/>
  <c r="T33" i="34"/>
  <c r="T34" i="34"/>
  <c r="T35" i="34"/>
  <c r="U35" i="34" s="1"/>
  <c r="V35" i="34" s="1"/>
  <c r="W35" i="34" s="1"/>
  <c r="X35" i="34" s="1"/>
  <c r="T36" i="34"/>
  <c r="U36" i="34" s="1"/>
  <c r="V36" i="34" s="1"/>
  <c r="W36" i="34" s="1"/>
  <c r="X36" i="34" s="1"/>
  <c r="T37" i="34"/>
  <c r="U37" i="34" s="1"/>
  <c r="V37" i="34" s="1"/>
  <c r="W37" i="34" s="1"/>
  <c r="X37" i="34" s="1"/>
  <c r="T38" i="34"/>
  <c r="U38" i="34" s="1"/>
  <c r="V38" i="34" s="1"/>
  <c r="W38" i="34" s="1"/>
  <c r="X38" i="34" s="1"/>
  <c r="T39" i="34"/>
  <c r="U39" i="34" s="1"/>
  <c r="V39" i="34" s="1"/>
  <c r="W39" i="34" s="1"/>
  <c r="X39" i="34" s="1"/>
  <c r="T40" i="34"/>
  <c r="T41" i="34"/>
  <c r="T42" i="34"/>
  <c r="T43" i="34"/>
  <c r="U43" i="34" s="1"/>
  <c r="V43" i="34" s="1"/>
  <c r="W43" i="34" s="1"/>
  <c r="X43" i="34" s="1"/>
  <c r="T44" i="34"/>
  <c r="U44" i="34" s="1"/>
  <c r="V44" i="34" s="1"/>
  <c r="W44" i="34" s="1"/>
  <c r="X44" i="34" s="1"/>
  <c r="T45" i="34"/>
  <c r="U45" i="34" s="1"/>
  <c r="V45" i="34" s="1"/>
  <c r="W45" i="34" s="1"/>
  <c r="X45" i="34" s="1"/>
  <c r="T46" i="34"/>
  <c r="U46" i="34" s="1"/>
  <c r="V46" i="34" s="1"/>
  <c r="W46" i="34" s="1"/>
  <c r="X46" i="34" s="1"/>
  <c r="T47" i="34"/>
  <c r="U47" i="34" s="1"/>
  <c r="V47" i="34" s="1"/>
  <c r="W47" i="34" s="1"/>
  <c r="X47" i="34" s="1"/>
  <c r="T48" i="34"/>
  <c r="T49" i="34"/>
  <c r="T50" i="34"/>
  <c r="T51" i="34"/>
  <c r="U51" i="34" s="1"/>
  <c r="V51" i="34" s="1"/>
  <c r="W51" i="34" s="1"/>
  <c r="X51" i="34" s="1"/>
  <c r="T52" i="34"/>
  <c r="U52" i="34" s="1"/>
  <c r="V52" i="34" s="1"/>
  <c r="W52" i="34" s="1"/>
  <c r="X52" i="34" s="1"/>
  <c r="U7" i="34"/>
  <c r="V7" i="34" s="1"/>
  <c r="W7" i="34" s="1"/>
  <c r="X7" i="34" s="1"/>
  <c r="U8" i="34"/>
  <c r="V8" i="34" s="1"/>
  <c r="W8" i="34" s="1"/>
  <c r="X8" i="34" s="1"/>
  <c r="U9" i="34"/>
  <c r="U10" i="34"/>
  <c r="U14" i="34"/>
  <c r="V14" i="34" s="1"/>
  <c r="W14" i="34" s="1"/>
  <c r="X14" i="34" s="1"/>
  <c r="U15" i="34"/>
  <c r="V15" i="34" s="1"/>
  <c r="W15" i="34" s="1"/>
  <c r="X15" i="34" s="1"/>
  <c r="U16" i="34"/>
  <c r="V16" i="34" s="1"/>
  <c r="W16" i="34" s="1"/>
  <c r="X16" i="34" s="1"/>
  <c r="U17" i="34"/>
  <c r="V17" i="34" s="1"/>
  <c r="W17" i="34" s="1"/>
  <c r="X17" i="34" s="1"/>
  <c r="U18" i="34"/>
  <c r="U23" i="34"/>
  <c r="V23" i="34" s="1"/>
  <c r="W23" i="34" s="1"/>
  <c r="X23" i="34" s="1"/>
  <c r="U24" i="34"/>
  <c r="V24" i="34" s="1"/>
  <c r="W24" i="34" s="1"/>
  <c r="X24" i="34" s="1"/>
  <c r="U25" i="34"/>
  <c r="U26" i="34"/>
  <c r="U32" i="34"/>
  <c r="V32" i="34" s="1"/>
  <c r="W32" i="34" s="1"/>
  <c r="X32" i="34" s="1"/>
  <c r="U33" i="34"/>
  <c r="V33" i="34" s="1"/>
  <c r="W33" i="34" s="1"/>
  <c r="X33" i="34" s="1"/>
  <c r="U34" i="34"/>
  <c r="V34" i="34" s="1"/>
  <c r="W34" i="34" s="1"/>
  <c r="X34" i="34" s="1"/>
  <c r="U40" i="34"/>
  <c r="V40" i="34" s="1"/>
  <c r="W40" i="34" s="1"/>
  <c r="X40" i="34" s="1"/>
  <c r="U41" i="34"/>
  <c r="V41" i="34" s="1"/>
  <c r="W41" i="34" s="1"/>
  <c r="X41" i="34" s="1"/>
  <c r="U42" i="34"/>
  <c r="V42" i="34" s="1"/>
  <c r="W42" i="34" s="1"/>
  <c r="X42" i="34" s="1"/>
  <c r="U48" i="34"/>
  <c r="V48" i="34" s="1"/>
  <c r="W48" i="34" s="1"/>
  <c r="X48" i="34" s="1"/>
  <c r="U49" i="34"/>
  <c r="U50" i="34"/>
  <c r="V50" i="34" s="1"/>
  <c r="W50" i="34" s="1"/>
  <c r="X50" i="34" s="1"/>
  <c r="V9" i="34"/>
  <c r="V10" i="34"/>
  <c r="V18" i="34"/>
  <c r="V25" i="34"/>
  <c r="W25" i="34" s="1"/>
  <c r="X25" i="34" s="1"/>
  <c r="V26" i="34"/>
  <c r="W26" i="34" s="1"/>
  <c r="X26" i="34" s="1"/>
  <c r="V49" i="34"/>
  <c r="W9" i="34"/>
  <c r="X9" i="34" s="1"/>
  <c r="W10" i="34"/>
  <c r="X10" i="34" s="1"/>
  <c r="W18" i="34"/>
  <c r="X18" i="34" s="1"/>
  <c r="W49" i="34"/>
  <c r="X49" i="34" s="1"/>
  <c r="Y6" i="34"/>
  <c r="Y7" i="34"/>
  <c r="Y8" i="34"/>
  <c r="Y9" i="34"/>
  <c r="AB9" i="34" s="1"/>
  <c r="Y10" i="34"/>
  <c r="Y11" i="34"/>
  <c r="Y12" i="34"/>
  <c r="Y13" i="34"/>
  <c r="Y14" i="34"/>
  <c r="Y15" i="34"/>
  <c r="Y16" i="34"/>
  <c r="Y17" i="34"/>
  <c r="AB17" i="34" s="1"/>
  <c r="Y18" i="34"/>
  <c r="Y19" i="34"/>
  <c r="Y20" i="34"/>
  <c r="Y21" i="34"/>
  <c r="Y22" i="34"/>
  <c r="Y23" i="34"/>
  <c r="Y24" i="34"/>
  <c r="Y25" i="34"/>
  <c r="AB25" i="34" s="1"/>
  <c r="Y26" i="34"/>
  <c r="Y27" i="34"/>
  <c r="Y28" i="34"/>
  <c r="Y29" i="34"/>
  <c r="Y30" i="34"/>
  <c r="Y31" i="34"/>
  <c r="Y32" i="34"/>
  <c r="Y33" i="34"/>
  <c r="AB33" i="34" s="1"/>
  <c r="Y34" i="34"/>
  <c r="Y35" i="34"/>
  <c r="Y36" i="34"/>
  <c r="Y37" i="34"/>
  <c r="Y38" i="34"/>
  <c r="Y39" i="34"/>
  <c r="Y40" i="34"/>
  <c r="Y41" i="34"/>
  <c r="AB41" i="34" s="1"/>
  <c r="Y42" i="34"/>
  <c r="Y43" i="34"/>
  <c r="Y44" i="34"/>
  <c r="Y45" i="34"/>
  <c r="Y46" i="34"/>
  <c r="Y47" i="34"/>
  <c r="Y48" i="34"/>
  <c r="Y49" i="34"/>
  <c r="AB49" i="34" s="1"/>
  <c r="Y50" i="34"/>
  <c r="Y51" i="34"/>
  <c r="Y52" i="34"/>
  <c r="Z6" i="34"/>
  <c r="Z7" i="34"/>
  <c r="Z8" i="34"/>
  <c r="Z9" i="34"/>
  <c r="Z10" i="34"/>
  <c r="Z11" i="34"/>
  <c r="Z12" i="34"/>
  <c r="Z13" i="34"/>
  <c r="Z14" i="34"/>
  <c r="Z15" i="34"/>
  <c r="Z16" i="34"/>
  <c r="Z17" i="34"/>
  <c r="Z18" i="34"/>
  <c r="Z19" i="34"/>
  <c r="Z20" i="34"/>
  <c r="Z21" i="34"/>
  <c r="Z22" i="34"/>
  <c r="Z23" i="34"/>
  <c r="Z24" i="34"/>
  <c r="Z25" i="34"/>
  <c r="Z26" i="34"/>
  <c r="Z27" i="34"/>
  <c r="Z28" i="34"/>
  <c r="Z29" i="34"/>
  <c r="Z30" i="34"/>
  <c r="Z31" i="34"/>
  <c r="Z32" i="34"/>
  <c r="Z33" i="34"/>
  <c r="Z34" i="34"/>
  <c r="Z35" i="34"/>
  <c r="Z36" i="34"/>
  <c r="Z37" i="34"/>
  <c r="Z38" i="34"/>
  <c r="Z39" i="34"/>
  <c r="Z40" i="34"/>
  <c r="Z41" i="34"/>
  <c r="Z42" i="34"/>
  <c r="Z43" i="34"/>
  <c r="Z44" i="34"/>
  <c r="Z45" i="34"/>
  <c r="Z46" i="34"/>
  <c r="Z47" i="34"/>
  <c r="Z48" i="34"/>
  <c r="Z49" i="34"/>
  <c r="Z50" i="34"/>
  <c r="Z51" i="34"/>
  <c r="Z52" i="34"/>
  <c r="AA6" i="34"/>
  <c r="AA7" i="34"/>
  <c r="AA8" i="34"/>
  <c r="AA9" i="34"/>
  <c r="AA10" i="34"/>
  <c r="AA11" i="34"/>
  <c r="AA12" i="34"/>
  <c r="AA13" i="34"/>
  <c r="AA14" i="34"/>
  <c r="AA15" i="34"/>
  <c r="AA16" i="34"/>
  <c r="AA17" i="34"/>
  <c r="AA18" i="34"/>
  <c r="AA19" i="34"/>
  <c r="AA20" i="34"/>
  <c r="AA21" i="34"/>
  <c r="AA22" i="34"/>
  <c r="AA23" i="34"/>
  <c r="AA24" i="34"/>
  <c r="AA25" i="34"/>
  <c r="AA26" i="34"/>
  <c r="AA27" i="34"/>
  <c r="AA28" i="34"/>
  <c r="AA29" i="34"/>
  <c r="AA30" i="34"/>
  <c r="AA31" i="34"/>
  <c r="AA32" i="34"/>
  <c r="AA33" i="34"/>
  <c r="AA34" i="34"/>
  <c r="AA35" i="34"/>
  <c r="AA36" i="34"/>
  <c r="AA37" i="34"/>
  <c r="AA38" i="34"/>
  <c r="AA39" i="34"/>
  <c r="AA40" i="34"/>
  <c r="AA41" i="34"/>
  <c r="AA42" i="34"/>
  <c r="AA43" i="34"/>
  <c r="AA44" i="34"/>
  <c r="AA45" i="34"/>
  <c r="AA46" i="34"/>
  <c r="AA47" i="34"/>
  <c r="AA48" i="34"/>
  <c r="AA49" i="34"/>
  <c r="AA50" i="34"/>
  <c r="AA51" i="34"/>
  <c r="AA52" i="34"/>
  <c r="AB6" i="34"/>
  <c r="AB7" i="34"/>
  <c r="AE7" i="34" s="1"/>
  <c r="AF7" i="34" s="1"/>
  <c r="AW7" i="34" s="1"/>
  <c r="AB8" i="34"/>
  <c r="AE8" i="34" s="1"/>
  <c r="AF8" i="34" s="1"/>
  <c r="AB15" i="34"/>
  <c r="AB16" i="34"/>
  <c r="AC16" i="34" s="1"/>
  <c r="AB22" i="34"/>
  <c r="AC22" i="34" s="1"/>
  <c r="AB23" i="34"/>
  <c r="AB24" i="34"/>
  <c r="AC24" i="34" s="1"/>
  <c r="AB30" i="34"/>
  <c r="AE30" i="34" s="1"/>
  <c r="AB31" i="34"/>
  <c r="AC31" i="34" s="1"/>
  <c r="AB32" i="34"/>
  <c r="AC32" i="34" s="1"/>
  <c r="AB39" i="34"/>
  <c r="AC39" i="34" s="1"/>
  <c r="AB40" i="34"/>
  <c r="AE40" i="34" s="1"/>
  <c r="AB44" i="34"/>
  <c r="AE44" i="34" s="1"/>
  <c r="AF44" i="34" s="1"/>
  <c r="AD44" i="34" s="1"/>
  <c r="AB46" i="34"/>
  <c r="AE46" i="34" s="1"/>
  <c r="AB47" i="34"/>
  <c r="AB48" i="34"/>
  <c r="AC48" i="34" s="1"/>
  <c r="AC8" i="34"/>
  <c r="AC13" i="34"/>
  <c r="AC15" i="34"/>
  <c r="AC23" i="34"/>
  <c r="AC40" i="34"/>
  <c r="AC46" i="34"/>
  <c r="AC47" i="34"/>
  <c r="AE15" i="34"/>
  <c r="AE22" i="34"/>
  <c r="AV22" i="34" s="1"/>
  <c r="AE23" i="34"/>
  <c r="AF23" i="34" s="1"/>
  <c r="AW23" i="34" s="1"/>
  <c r="AE24" i="34"/>
  <c r="AV24" i="34" s="1"/>
  <c r="AE31" i="34"/>
  <c r="AE47" i="34"/>
  <c r="AF47" i="34" s="1"/>
  <c r="AW47" i="34" s="1"/>
  <c r="AE48" i="34"/>
  <c r="AV48" i="34" s="1"/>
  <c r="AF24" i="34"/>
  <c r="AQ24" i="34" s="1"/>
  <c r="AF46" i="34"/>
  <c r="AH6" i="34"/>
  <c r="AH7" i="34"/>
  <c r="AH8" i="34"/>
  <c r="AH9" i="34"/>
  <c r="AH10" i="34"/>
  <c r="AH11" i="34"/>
  <c r="AH12" i="34"/>
  <c r="AH13" i="34"/>
  <c r="AH14" i="34"/>
  <c r="AH15" i="34"/>
  <c r="AL15" i="34" s="1"/>
  <c r="AH16" i="34"/>
  <c r="AL16" i="34" s="1"/>
  <c r="AH17" i="34"/>
  <c r="AH18" i="34"/>
  <c r="AH19" i="34"/>
  <c r="AH20" i="34"/>
  <c r="AH21" i="34"/>
  <c r="AH22" i="34"/>
  <c r="AH23" i="34"/>
  <c r="AH24" i="34"/>
  <c r="AH25" i="34"/>
  <c r="AH26" i="34"/>
  <c r="AH27" i="34"/>
  <c r="AH28" i="34"/>
  <c r="AH29" i="34"/>
  <c r="AH30" i="34"/>
  <c r="AH31" i="34"/>
  <c r="AH32" i="34"/>
  <c r="AL32" i="34" s="1"/>
  <c r="AH33" i="34"/>
  <c r="AH34" i="34"/>
  <c r="AH35" i="34"/>
  <c r="AH36" i="34"/>
  <c r="AH37" i="34"/>
  <c r="AH38" i="34"/>
  <c r="AH39" i="34"/>
  <c r="AH40" i="34"/>
  <c r="AH41" i="34"/>
  <c r="AH42" i="34"/>
  <c r="AH43" i="34"/>
  <c r="AH44" i="34"/>
  <c r="AH45" i="34"/>
  <c r="AH46" i="34"/>
  <c r="AH47" i="34"/>
  <c r="AL47" i="34" s="1"/>
  <c r="AH48" i="34"/>
  <c r="AH49" i="34"/>
  <c r="AH50" i="34"/>
  <c r="AH51" i="34"/>
  <c r="AH52" i="34"/>
  <c r="AI6" i="34"/>
  <c r="AK6" i="34" s="1"/>
  <c r="AI7" i="34"/>
  <c r="AK7" i="34" s="1"/>
  <c r="AI8" i="34"/>
  <c r="AK8" i="34" s="1"/>
  <c r="AI9" i="34"/>
  <c r="AK9" i="34" s="1"/>
  <c r="AI10" i="34"/>
  <c r="AI11" i="34"/>
  <c r="AK11" i="34" s="1"/>
  <c r="AI12" i="34"/>
  <c r="AI13" i="34"/>
  <c r="AK13" i="34" s="1"/>
  <c r="AI14" i="34"/>
  <c r="AK14" i="34" s="1"/>
  <c r="AI15" i="34"/>
  <c r="AK15" i="34" s="1"/>
  <c r="AI16" i="34"/>
  <c r="AK16" i="34" s="1"/>
  <c r="AI17" i="34"/>
  <c r="AK17" i="34" s="1"/>
  <c r="AI18" i="34"/>
  <c r="AI19" i="34"/>
  <c r="AK19" i="34" s="1"/>
  <c r="AI20" i="34"/>
  <c r="AI21" i="34"/>
  <c r="AK21" i="34" s="1"/>
  <c r="AI22" i="34"/>
  <c r="AK22" i="34" s="1"/>
  <c r="AI23" i="34"/>
  <c r="AK23" i="34" s="1"/>
  <c r="AI24" i="34"/>
  <c r="AK24" i="34" s="1"/>
  <c r="AI25" i="34"/>
  <c r="AK25" i="34" s="1"/>
  <c r="AI26" i="34"/>
  <c r="AI27" i="34"/>
  <c r="AK27" i="34" s="1"/>
  <c r="AI28" i="34"/>
  <c r="AI29" i="34"/>
  <c r="AK29" i="34" s="1"/>
  <c r="AI30" i="34"/>
  <c r="AK30" i="34" s="1"/>
  <c r="AI31" i="34"/>
  <c r="AK31" i="34" s="1"/>
  <c r="AI32" i="34"/>
  <c r="AK32" i="34" s="1"/>
  <c r="AI33" i="34"/>
  <c r="AK33" i="34" s="1"/>
  <c r="AI34" i="34"/>
  <c r="AI35" i="34"/>
  <c r="AK35" i="34" s="1"/>
  <c r="AI36" i="34"/>
  <c r="AI37" i="34"/>
  <c r="AK37" i="34" s="1"/>
  <c r="AI38" i="34"/>
  <c r="AK38" i="34" s="1"/>
  <c r="AI39" i="34"/>
  <c r="AK39" i="34" s="1"/>
  <c r="AI40" i="34"/>
  <c r="AK40" i="34" s="1"/>
  <c r="AI41" i="34"/>
  <c r="AK41" i="34" s="1"/>
  <c r="AI42" i="34"/>
  <c r="AI43" i="34"/>
  <c r="AK43" i="34" s="1"/>
  <c r="AI44" i="34"/>
  <c r="AI45" i="34"/>
  <c r="AK45" i="34" s="1"/>
  <c r="AI46" i="34"/>
  <c r="AK46" i="34" s="1"/>
  <c r="AI47" i="34"/>
  <c r="AK47" i="34" s="1"/>
  <c r="AI48" i="34"/>
  <c r="AK48" i="34" s="1"/>
  <c r="AI49" i="34"/>
  <c r="AK49" i="34" s="1"/>
  <c r="AI50" i="34"/>
  <c r="AI51" i="34"/>
  <c r="AK51" i="34" s="1"/>
  <c r="AI52" i="34"/>
  <c r="AJ7" i="34"/>
  <c r="AJ8" i="34"/>
  <c r="AJ9" i="34"/>
  <c r="AM9" i="34" s="1"/>
  <c r="AJ15" i="34"/>
  <c r="AJ16" i="34"/>
  <c r="AJ17" i="34"/>
  <c r="AJ23" i="34"/>
  <c r="AJ24" i="34"/>
  <c r="AJ25" i="34"/>
  <c r="AJ26" i="34"/>
  <c r="AM26" i="34" s="1"/>
  <c r="AN26" i="34" s="1"/>
  <c r="AO26" i="34" s="1"/>
  <c r="AJ31" i="34"/>
  <c r="AJ32" i="34"/>
  <c r="AJ33" i="34"/>
  <c r="AJ39" i="34"/>
  <c r="AJ40" i="34"/>
  <c r="AJ41" i="34"/>
  <c r="AJ47" i="34"/>
  <c r="AJ48" i="34"/>
  <c r="AJ49" i="34"/>
  <c r="AM49" i="34" s="1"/>
  <c r="AK10" i="34"/>
  <c r="AK12" i="34"/>
  <c r="AK18" i="34"/>
  <c r="AK20" i="34"/>
  <c r="AK26" i="34"/>
  <c r="AK28" i="34"/>
  <c r="AK34" i="34"/>
  <c r="AK36" i="34"/>
  <c r="AK42" i="34"/>
  <c r="AK44" i="34"/>
  <c r="AK50" i="34"/>
  <c r="AK52" i="34"/>
  <c r="AM17" i="34"/>
  <c r="AM30" i="34"/>
  <c r="AM46" i="34"/>
  <c r="AM48" i="34"/>
  <c r="AR7" i="34"/>
  <c r="AR8" i="34"/>
  <c r="AR23" i="34"/>
  <c r="AR24" i="34"/>
  <c r="AR46" i="34"/>
  <c r="AV7" i="34"/>
  <c r="AV8" i="34"/>
  <c r="AV46" i="34"/>
  <c r="AX6" i="34"/>
  <c r="BO6" i="34" s="1"/>
  <c r="AX7" i="34"/>
  <c r="BO7" i="34" s="1"/>
  <c r="BR7" i="34" s="1"/>
  <c r="BS7" i="34" s="1"/>
  <c r="BT7" i="34" s="1"/>
  <c r="AX8" i="34"/>
  <c r="BO8" i="34" s="1"/>
  <c r="BR8" i="34" s="1"/>
  <c r="AX9" i="34"/>
  <c r="BO9" i="34" s="1"/>
  <c r="BR9" i="34" s="1"/>
  <c r="BS9" i="34" s="1"/>
  <c r="BT9" i="34" s="1"/>
  <c r="AX10" i="34"/>
  <c r="BG10" i="34" s="1"/>
  <c r="AX11" i="34"/>
  <c r="BO11" i="34" s="1"/>
  <c r="AX12" i="34"/>
  <c r="AX13" i="34"/>
  <c r="BO13" i="34" s="1"/>
  <c r="BR13" i="34" s="1"/>
  <c r="AX14" i="34"/>
  <c r="BO14" i="34" s="1"/>
  <c r="AX15" i="34"/>
  <c r="BO15" i="34" s="1"/>
  <c r="BR15" i="34" s="1"/>
  <c r="AX16" i="34"/>
  <c r="BO16" i="34" s="1"/>
  <c r="BR16" i="34" s="1"/>
  <c r="AX17" i="34"/>
  <c r="BO17" i="34" s="1"/>
  <c r="BL17" i="34" s="1"/>
  <c r="AX18" i="34"/>
  <c r="BG18" i="34" s="1"/>
  <c r="AX19" i="34"/>
  <c r="BG19" i="34" s="1"/>
  <c r="AX20" i="34"/>
  <c r="AX21" i="34"/>
  <c r="BO21" i="34" s="1"/>
  <c r="BR21" i="34" s="1"/>
  <c r="AX22" i="34"/>
  <c r="BO22" i="34" s="1"/>
  <c r="AX23" i="34"/>
  <c r="AX24" i="34"/>
  <c r="BO24" i="34" s="1"/>
  <c r="BR24" i="34" s="1"/>
  <c r="AX25" i="34"/>
  <c r="BO25" i="34" s="1"/>
  <c r="BR25" i="34" s="1"/>
  <c r="AX26" i="34"/>
  <c r="BG26" i="34" s="1"/>
  <c r="AX27" i="34"/>
  <c r="BG27" i="34" s="1"/>
  <c r="AX28" i="34"/>
  <c r="AX29" i="34"/>
  <c r="BO29" i="34" s="1"/>
  <c r="BR29" i="34" s="1"/>
  <c r="AX30" i="34"/>
  <c r="BO30" i="34" s="1"/>
  <c r="AX31" i="34"/>
  <c r="BO31" i="34" s="1"/>
  <c r="BR31" i="34" s="1"/>
  <c r="AX32" i="34"/>
  <c r="BO32" i="34" s="1"/>
  <c r="BR32" i="34" s="1"/>
  <c r="AX33" i="34"/>
  <c r="BO33" i="34" s="1"/>
  <c r="BL33" i="34" s="1"/>
  <c r="AX34" i="34"/>
  <c r="BG34" i="34" s="1"/>
  <c r="AX35" i="34"/>
  <c r="BG35" i="34" s="1"/>
  <c r="AX36" i="34"/>
  <c r="AX37" i="34"/>
  <c r="AX38" i="34"/>
  <c r="BO38" i="34" s="1"/>
  <c r="AX39" i="34"/>
  <c r="BO39" i="34" s="1"/>
  <c r="BR39" i="34" s="1"/>
  <c r="AX40" i="34"/>
  <c r="BO40" i="34" s="1"/>
  <c r="BR40" i="34" s="1"/>
  <c r="AX41" i="34"/>
  <c r="AX42" i="34"/>
  <c r="BG42" i="34" s="1"/>
  <c r="AX43" i="34"/>
  <c r="BO43" i="34" s="1"/>
  <c r="BR43" i="34" s="1"/>
  <c r="AX44" i="34"/>
  <c r="AX45" i="34"/>
  <c r="BO45" i="34" s="1"/>
  <c r="BR45" i="34" s="1"/>
  <c r="AX46" i="34"/>
  <c r="BO46" i="34" s="1"/>
  <c r="AX47" i="34"/>
  <c r="BO47" i="34" s="1"/>
  <c r="BR47" i="34" s="1"/>
  <c r="AX48" i="34"/>
  <c r="BG48" i="34" s="1"/>
  <c r="AX49" i="34"/>
  <c r="BO49" i="34" s="1"/>
  <c r="AX50" i="34"/>
  <c r="BG50" i="34" s="1"/>
  <c r="AX51" i="34"/>
  <c r="BG51" i="34" s="1"/>
  <c r="AX52" i="34"/>
  <c r="AY6" i="34"/>
  <c r="AZ6" i="34" s="1"/>
  <c r="BA6" i="34" s="1"/>
  <c r="BB6" i="34" s="1"/>
  <c r="BC6" i="34" s="1"/>
  <c r="AY7" i="34"/>
  <c r="AZ7" i="34" s="1"/>
  <c r="BA7" i="34" s="1"/>
  <c r="BB7" i="34" s="1"/>
  <c r="BC7" i="34" s="1"/>
  <c r="AY8" i="34"/>
  <c r="AZ8" i="34" s="1"/>
  <c r="BA8" i="34" s="1"/>
  <c r="BB8" i="34" s="1"/>
  <c r="BC8" i="34" s="1"/>
  <c r="AY9" i="34"/>
  <c r="AZ9" i="34" s="1"/>
  <c r="BA9" i="34" s="1"/>
  <c r="BB9" i="34" s="1"/>
  <c r="BC9" i="34" s="1"/>
  <c r="AY10" i="34"/>
  <c r="AZ10" i="34" s="1"/>
  <c r="BA10" i="34" s="1"/>
  <c r="BB10" i="34" s="1"/>
  <c r="BC10" i="34" s="1"/>
  <c r="AY11" i="34"/>
  <c r="AZ11" i="34" s="1"/>
  <c r="BA11" i="34" s="1"/>
  <c r="BB11" i="34" s="1"/>
  <c r="BC11" i="34" s="1"/>
  <c r="AY12" i="34"/>
  <c r="AZ12" i="34" s="1"/>
  <c r="BA12" i="34" s="1"/>
  <c r="BB12" i="34" s="1"/>
  <c r="BC12" i="34" s="1"/>
  <c r="AY13" i="34"/>
  <c r="AY14" i="34"/>
  <c r="AZ14" i="34" s="1"/>
  <c r="BA14" i="34" s="1"/>
  <c r="AY15" i="34"/>
  <c r="AZ15" i="34" s="1"/>
  <c r="BA15" i="34" s="1"/>
  <c r="BB15" i="34" s="1"/>
  <c r="BC15" i="34" s="1"/>
  <c r="AY16" i="34"/>
  <c r="AZ16" i="34" s="1"/>
  <c r="BA16" i="34" s="1"/>
  <c r="BB16" i="34" s="1"/>
  <c r="BC16" i="34" s="1"/>
  <c r="AY17" i="34"/>
  <c r="AZ17" i="34" s="1"/>
  <c r="BA17" i="34" s="1"/>
  <c r="BB17" i="34" s="1"/>
  <c r="BC17" i="34" s="1"/>
  <c r="AY18" i="34"/>
  <c r="AZ18" i="34" s="1"/>
  <c r="BA18" i="34" s="1"/>
  <c r="BB18" i="34" s="1"/>
  <c r="BC18" i="34" s="1"/>
  <c r="AY19" i="34"/>
  <c r="AZ19" i="34" s="1"/>
  <c r="BA19" i="34" s="1"/>
  <c r="BB19" i="34" s="1"/>
  <c r="BC19" i="34" s="1"/>
  <c r="AY20" i="34"/>
  <c r="AZ20" i="34" s="1"/>
  <c r="BA20" i="34" s="1"/>
  <c r="BB20" i="34" s="1"/>
  <c r="BC20" i="34" s="1"/>
  <c r="AY21" i="34"/>
  <c r="AY22" i="34"/>
  <c r="AZ22" i="34" s="1"/>
  <c r="BA22" i="34" s="1"/>
  <c r="BB22" i="34" s="1"/>
  <c r="BC22" i="34" s="1"/>
  <c r="AY23" i="34"/>
  <c r="AZ23" i="34" s="1"/>
  <c r="BA23" i="34" s="1"/>
  <c r="BB23" i="34" s="1"/>
  <c r="BC23" i="34" s="1"/>
  <c r="AY24" i="34"/>
  <c r="AZ24" i="34" s="1"/>
  <c r="BA24" i="34" s="1"/>
  <c r="BB24" i="34" s="1"/>
  <c r="BC24" i="34" s="1"/>
  <c r="AY25" i="34"/>
  <c r="AZ25" i="34" s="1"/>
  <c r="BA25" i="34" s="1"/>
  <c r="BB25" i="34" s="1"/>
  <c r="BC25" i="34" s="1"/>
  <c r="AY26" i="34"/>
  <c r="AZ26" i="34" s="1"/>
  <c r="BA26" i="34" s="1"/>
  <c r="BB26" i="34" s="1"/>
  <c r="BC26" i="34" s="1"/>
  <c r="AY27" i="34"/>
  <c r="AZ27" i="34" s="1"/>
  <c r="BA27" i="34" s="1"/>
  <c r="BB27" i="34" s="1"/>
  <c r="BC27" i="34" s="1"/>
  <c r="AY28" i="34"/>
  <c r="AZ28" i="34" s="1"/>
  <c r="BA28" i="34" s="1"/>
  <c r="BB28" i="34" s="1"/>
  <c r="BC28" i="34" s="1"/>
  <c r="AY29" i="34"/>
  <c r="AY30" i="34"/>
  <c r="AZ30" i="34" s="1"/>
  <c r="BA30" i="34" s="1"/>
  <c r="BB30" i="34" s="1"/>
  <c r="BC30" i="34" s="1"/>
  <c r="AY31" i="34"/>
  <c r="AZ31" i="34" s="1"/>
  <c r="BA31" i="34" s="1"/>
  <c r="BB31" i="34" s="1"/>
  <c r="BC31" i="34" s="1"/>
  <c r="AY32" i="34"/>
  <c r="AZ32" i="34" s="1"/>
  <c r="BA32" i="34" s="1"/>
  <c r="BB32" i="34" s="1"/>
  <c r="BC32" i="34" s="1"/>
  <c r="AY33" i="34"/>
  <c r="AZ33" i="34" s="1"/>
  <c r="BA33" i="34" s="1"/>
  <c r="BB33" i="34" s="1"/>
  <c r="BC33" i="34" s="1"/>
  <c r="AY34" i="34"/>
  <c r="AZ34" i="34" s="1"/>
  <c r="BA34" i="34" s="1"/>
  <c r="BB34" i="34" s="1"/>
  <c r="BC34" i="34" s="1"/>
  <c r="AY35" i="34"/>
  <c r="AZ35" i="34" s="1"/>
  <c r="BA35" i="34" s="1"/>
  <c r="BB35" i="34" s="1"/>
  <c r="BC35" i="34" s="1"/>
  <c r="AY36" i="34"/>
  <c r="AZ36" i="34" s="1"/>
  <c r="BA36" i="34" s="1"/>
  <c r="BB36" i="34" s="1"/>
  <c r="BC36" i="34" s="1"/>
  <c r="AY37" i="34"/>
  <c r="AY38" i="34"/>
  <c r="AZ38" i="34" s="1"/>
  <c r="BA38" i="34" s="1"/>
  <c r="BB38" i="34" s="1"/>
  <c r="BC38" i="34" s="1"/>
  <c r="AY39" i="34"/>
  <c r="AZ39" i="34" s="1"/>
  <c r="BA39" i="34" s="1"/>
  <c r="BB39" i="34" s="1"/>
  <c r="BC39" i="34" s="1"/>
  <c r="AY40" i="34"/>
  <c r="AZ40" i="34" s="1"/>
  <c r="BA40" i="34" s="1"/>
  <c r="BB40" i="34" s="1"/>
  <c r="BC40" i="34" s="1"/>
  <c r="AY41" i="34"/>
  <c r="AZ41" i="34" s="1"/>
  <c r="BA41" i="34" s="1"/>
  <c r="BB41" i="34" s="1"/>
  <c r="BC41" i="34" s="1"/>
  <c r="AY42" i="34"/>
  <c r="AZ42" i="34" s="1"/>
  <c r="BA42" i="34" s="1"/>
  <c r="BB42" i="34" s="1"/>
  <c r="BC42" i="34" s="1"/>
  <c r="AY43" i="34"/>
  <c r="AZ43" i="34" s="1"/>
  <c r="BA43" i="34" s="1"/>
  <c r="BB43" i="34" s="1"/>
  <c r="BC43" i="34" s="1"/>
  <c r="AY44" i="34"/>
  <c r="AZ44" i="34" s="1"/>
  <c r="BA44" i="34" s="1"/>
  <c r="BB44" i="34" s="1"/>
  <c r="BC44" i="34" s="1"/>
  <c r="AY45" i="34"/>
  <c r="AY46" i="34"/>
  <c r="AZ46" i="34" s="1"/>
  <c r="BA46" i="34" s="1"/>
  <c r="BB46" i="34" s="1"/>
  <c r="BC46" i="34" s="1"/>
  <c r="AY47" i="34"/>
  <c r="AZ47" i="34" s="1"/>
  <c r="BA47" i="34" s="1"/>
  <c r="BB47" i="34" s="1"/>
  <c r="BC47" i="34" s="1"/>
  <c r="AY48" i="34"/>
  <c r="AZ48" i="34" s="1"/>
  <c r="BA48" i="34" s="1"/>
  <c r="BB48" i="34" s="1"/>
  <c r="BC48" i="34" s="1"/>
  <c r="AY49" i="34"/>
  <c r="AZ49" i="34" s="1"/>
  <c r="BA49" i="34" s="1"/>
  <c r="BB49" i="34" s="1"/>
  <c r="BC49" i="34" s="1"/>
  <c r="AY50" i="34"/>
  <c r="AY51" i="34"/>
  <c r="AZ51" i="34" s="1"/>
  <c r="BA51" i="34" s="1"/>
  <c r="BB51" i="34" s="1"/>
  <c r="BC51" i="34" s="1"/>
  <c r="AY52" i="34"/>
  <c r="AZ52" i="34" s="1"/>
  <c r="BA52" i="34" s="1"/>
  <c r="BB52" i="34" s="1"/>
  <c r="BC52" i="34" s="1"/>
  <c r="AZ13" i="34"/>
  <c r="BA13" i="34" s="1"/>
  <c r="BB13" i="34" s="1"/>
  <c r="BC13" i="34" s="1"/>
  <c r="AZ21" i="34"/>
  <c r="BA21" i="34" s="1"/>
  <c r="BB21" i="34" s="1"/>
  <c r="BC21" i="34" s="1"/>
  <c r="AZ29" i="34"/>
  <c r="BA29" i="34" s="1"/>
  <c r="BB29" i="34" s="1"/>
  <c r="BC29" i="34" s="1"/>
  <c r="AZ37" i="34"/>
  <c r="BA37" i="34" s="1"/>
  <c r="BB37" i="34" s="1"/>
  <c r="BC37" i="34" s="1"/>
  <c r="AZ45" i="34"/>
  <c r="BA45" i="34" s="1"/>
  <c r="BB45" i="34" s="1"/>
  <c r="BC45" i="34" s="1"/>
  <c r="AZ50" i="34"/>
  <c r="BA50" i="34" s="1"/>
  <c r="BB50" i="34" s="1"/>
  <c r="BC50" i="34" s="1"/>
  <c r="BB14" i="34"/>
  <c r="BC14" i="34" s="1"/>
  <c r="BD6" i="34"/>
  <c r="BD7" i="34"/>
  <c r="BD8" i="34"/>
  <c r="BD9" i="34"/>
  <c r="BD10" i="34"/>
  <c r="BD11" i="34"/>
  <c r="BD12" i="34"/>
  <c r="BD13" i="34"/>
  <c r="BG13" i="34" s="1"/>
  <c r="BD14" i="34"/>
  <c r="BD15" i="34"/>
  <c r="BD16" i="34"/>
  <c r="BD17" i="34"/>
  <c r="BD18" i="34"/>
  <c r="BD19" i="34"/>
  <c r="BD20" i="34"/>
  <c r="BD21" i="34"/>
  <c r="BG21" i="34" s="1"/>
  <c r="BD22" i="34"/>
  <c r="BD23" i="34"/>
  <c r="BD24" i="34"/>
  <c r="BD25" i="34"/>
  <c r="BD26" i="34"/>
  <c r="BD27" i="34"/>
  <c r="BD28" i="34"/>
  <c r="BD29" i="34"/>
  <c r="BG29" i="34" s="1"/>
  <c r="BD30" i="34"/>
  <c r="BD31" i="34"/>
  <c r="BD32" i="34"/>
  <c r="BD33" i="34"/>
  <c r="BD34" i="34"/>
  <c r="BD35" i="34"/>
  <c r="BD36" i="34"/>
  <c r="BD37" i="34"/>
  <c r="BG37" i="34" s="1"/>
  <c r="BD38" i="34"/>
  <c r="BD39" i="34"/>
  <c r="BD40" i="34"/>
  <c r="BD41" i="34"/>
  <c r="BD42" i="34"/>
  <c r="BD43" i="34"/>
  <c r="BD44" i="34"/>
  <c r="BD45" i="34"/>
  <c r="BG45" i="34" s="1"/>
  <c r="BD46" i="34"/>
  <c r="BD47" i="34"/>
  <c r="BD48" i="34"/>
  <c r="BD49" i="34"/>
  <c r="BD50" i="34"/>
  <c r="BD51" i="34"/>
  <c r="BD52" i="34"/>
  <c r="BE6" i="34"/>
  <c r="BE7" i="34"/>
  <c r="BE8" i="34"/>
  <c r="BE9" i="34"/>
  <c r="BE10" i="34"/>
  <c r="BE11" i="34"/>
  <c r="BE12" i="34"/>
  <c r="BE13" i="34"/>
  <c r="BE14" i="34"/>
  <c r="BE15" i="34"/>
  <c r="BE16" i="34"/>
  <c r="BE17" i="34"/>
  <c r="BE18" i="34"/>
  <c r="BE19" i="34"/>
  <c r="BE20" i="34"/>
  <c r="BE21" i="34"/>
  <c r="BE22" i="34"/>
  <c r="BE23" i="34"/>
  <c r="BE24" i="34"/>
  <c r="BE25" i="34"/>
  <c r="BE26" i="34"/>
  <c r="BE27" i="34"/>
  <c r="BE28" i="34"/>
  <c r="BE29" i="34"/>
  <c r="BE30" i="34"/>
  <c r="BE31" i="34"/>
  <c r="BE32" i="34"/>
  <c r="BE33" i="34"/>
  <c r="BE34" i="34"/>
  <c r="BE35" i="34"/>
  <c r="BE36" i="34"/>
  <c r="BE37" i="34"/>
  <c r="BE38" i="34"/>
  <c r="BE39" i="34"/>
  <c r="BE40" i="34"/>
  <c r="BE41" i="34"/>
  <c r="BE42" i="34"/>
  <c r="BE43" i="34"/>
  <c r="BE44" i="34"/>
  <c r="BE45" i="34"/>
  <c r="BE46" i="34"/>
  <c r="BE47" i="34"/>
  <c r="BE48" i="34"/>
  <c r="BE49" i="34"/>
  <c r="BE50" i="34"/>
  <c r="BE51" i="34"/>
  <c r="BE52" i="34"/>
  <c r="BF6" i="34"/>
  <c r="BF7" i="34"/>
  <c r="BF8" i="34"/>
  <c r="BF9" i="34"/>
  <c r="BF10" i="34"/>
  <c r="BF11" i="34"/>
  <c r="BF12" i="34"/>
  <c r="BF13" i="34"/>
  <c r="BF14" i="34"/>
  <c r="BF15" i="34"/>
  <c r="BF16" i="34"/>
  <c r="BF17" i="34"/>
  <c r="BF18" i="34"/>
  <c r="BF19" i="34"/>
  <c r="BF20" i="34"/>
  <c r="BF21" i="34"/>
  <c r="BF22" i="34"/>
  <c r="BF23" i="34"/>
  <c r="BF24" i="34"/>
  <c r="BF25" i="34"/>
  <c r="BF26" i="34"/>
  <c r="BF27" i="34"/>
  <c r="BF28" i="34"/>
  <c r="BF29" i="34"/>
  <c r="BF30" i="34"/>
  <c r="BF31" i="34"/>
  <c r="BF32" i="34"/>
  <c r="BF33" i="34"/>
  <c r="BF34" i="34"/>
  <c r="BF35" i="34"/>
  <c r="BF36" i="34"/>
  <c r="BF37" i="34"/>
  <c r="BF38" i="34"/>
  <c r="BF39" i="34"/>
  <c r="BF40" i="34"/>
  <c r="BF41" i="34"/>
  <c r="BF42" i="34"/>
  <c r="BF43" i="34"/>
  <c r="BF44" i="34"/>
  <c r="BF45" i="34"/>
  <c r="BF46" i="34"/>
  <c r="BF47" i="34"/>
  <c r="BF48" i="34"/>
  <c r="BF49" i="34"/>
  <c r="BF50" i="34"/>
  <c r="BF51" i="34"/>
  <c r="BF52" i="34"/>
  <c r="BG8" i="34"/>
  <c r="BG12" i="34"/>
  <c r="BJ12" i="34" s="1"/>
  <c r="BG20" i="34"/>
  <c r="BJ20" i="34" s="1"/>
  <c r="BG28" i="34"/>
  <c r="BG36" i="34"/>
  <c r="BJ36" i="34" s="1"/>
  <c r="BG44" i="34"/>
  <c r="BH44" i="34" s="1"/>
  <c r="BG52" i="34"/>
  <c r="BH52" i="34" s="1"/>
  <c r="BH28" i="34"/>
  <c r="BJ28" i="34"/>
  <c r="BK28" i="34" s="1"/>
  <c r="BI28" i="34" s="1"/>
  <c r="BJ52" i="34"/>
  <c r="BK52" i="34" s="1"/>
  <c r="BM6" i="34"/>
  <c r="BM7" i="34"/>
  <c r="BM8" i="34"/>
  <c r="BM9" i="34"/>
  <c r="BM10" i="34"/>
  <c r="BM11" i="34"/>
  <c r="BM12" i="34"/>
  <c r="BM13" i="34"/>
  <c r="BM14" i="34"/>
  <c r="BM15" i="34"/>
  <c r="BM16" i="34"/>
  <c r="BM17" i="34"/>
  <c r="BM18" i="34"/>
  <c r="BM19" i="34"/>
  <c r="BM20" i="34"/>
  <c r="BM21" i="34"/>
  <c r="BM22" i="34"/>
  <c r="BM23" i="34"/>
  <c r="BM24" i="34"/>
  <c r="BM25" i="34"/>
  <c r="BM26" i="34"/>
  <c r="BM27" i="34"/>
  <c r="BM28" i="34"/>
  <c r="BM29" i="34"/>
  <c r="BM30" i="34"/>
  <c r="BM31" i="34"/>
  <c r="BM32" i="34"/>
  <c r="BM33" i="34"/>
  <c r="BM34" i="34"/>
  <c r="BM35" i="34"/>
  <c r="BM36" i="34"/>
  <c r="BM37" i="34"/>
  <c r="BM38" i="34"/>
  <c r="BM39" i="34"/>
  <c r="BM40" i="34"/>
  <c r="BM41" i="34"/>
  <c r="BM42" i="34"/>
  <c r="BM43" i="34"/>
  <c r="BM44" i="34"/>
  <c r="BM45" i="34"/>
  <c r="BM46" i="34"/>
  <c r="BM47" i="34"/>
  <c r="BM48" i="34"/>
  <c r="BM49" i="34"/>
  <c r="BM50" i="34"/>
  <c r="BM51" i="34"/>
  <c r="BM52" i="34"/>
  <c r="BN6" i="34"/>
  <c r="BP6" i="34" s="1"/>
  <c r="BN7" i="34"/>
  <c r="BP7" i="34" s="1"/>
  <c r="BN8" i="34"/>
  <c r="BP8" i="34" s="1"/>
  <c r="BN9" i="34"/>
  <c r="BP9" i="34" s="1"/>
  <c r="BN10" i="34"/>
  <c r="BP10" i="34" s="1"/>
  <c r="BN11" i="34"/>
  <c r="BP11" i="34" s="1"/>
  <c r="BN12" i="34"/>
  <c r="BP12" i="34" s="1"/>
  <c r="BN13" i="34"/>
  <c r="BP13" i="34" s="1"/>
  <c r="BN14" i="34"/>
  <c r="BN15" i="34"/>
  <c r="BP15" i="34" s="1"/>
  <c r="BN16" i="34"/>
  <c r="BP16" i="34" s="1"/>
  <c r="BN17" i="34"/>
  <c r="BP17" i="34" s="1"/>
  <c r="BN18" i="34"/>
  <c r="BP18" i="34" s="1"/>
  <c r="BN19" i="34"/>
  <c r="BP19" i="34" s="1"/>
  <c r="BN20" i="34"/>
  <c r="BP20" i="34" s="1"/>
  <c r="BN21" i="34"/>
  <c r="BP21" i="34" s="1"/>
  <c r="BN22" i="34"/>
  <c r="BP22" i="34" s="1"/>
  <c r="BN23" i="34"/>
  <c r="BP23" i="34" s="1"/>
  <c r="BN24" i="34"/>
  <c r="BP24" i="34" s="1"/>
  <c r="BN25" i="34"/>
  <c r="BN26" i="34"/>
  <c r="BP26" i="34" s="1"/>
  <c r="BN27" i="34"/>
  <c r="BP27" i="34" s="1"/>
  <c r="BN28" i="34"/>
  <c r="BP28" i="34" s="1"/>
  <c r="BN29" i="34"/>
  <c r="BP29" i="34" s="1"/>
  <c r="BN30" i="34"/>
  <c r="BN31" i="34"/>
  <c r="BP31" i="34" s="1"/>
  <c r="BN32" i="34"/>
  <c r="BP32" i="34" s="1"/>
  <c r="BN33" i="34"/>
  <c r="BP33" i="34" s="1"/>
  <c r="BN34" i="34"/>
  <c r="BP34" i="34" s="1"/>
  <c r="BN35" i="34"/>
  <c r="BP35" i="34" s="1"/>
  <c r="BN36" i="34"/>
  <c r="BP36" i="34" s="1"/>
  <c r="BN37" i="34"/>
  <c r="BP37" i="34" s="1"/>
  <c r="BN38" i="34"/>
  <c r="BP38" i="34" s="1"/>
  <c r="BN39" i="34"/>
  <c r="BP39" i="34" s="1"/>
  <c r="BN40" i="34"/>
  <c r="BP40" i="34" s="1"/>
  <c r="BN41" i="34"/>
  <c r="BP41" i="34" s="1"/>
  <c r="BN42" i="34"/>
  <c r="BP42" i="34" s="1"/>
  <c r="BN43" i="34"/>
  <c r="BP43" i="34" s="1"/>
  <c r="BN44" i="34"/>
  <c r="BP44" i="34" s="1"/>
  <c r="BN45" i="34"/>
  <c r="BP45" i="34" s="1"/>
  <c r="BN46" i="34"/>
  <c r="BP46" i="34" s="1"/>
  <c r="BN47" i="34"/>
  <c r="BP47" i="34" s="1"/>
  <c r="BN48" i="34"/>
  <c r="BP48" i="34" s="1"/>
  <c r="BN49" i="34"/>
  <c r="BN50" i="34"/>
  <c r="BP50" i="34" s="1"/>
  <c r="BN51" i="34"/>
  <c r="BP51" i="34" s="1"/>
  <c r="BN52" i="34"/>
  <c r="BP52" i="34" s="1"/>
  <c r="BO12" i="34"/>
  <c r="BO18" i="34"/>
  <c r="BR18" i="34" s="1"/>
  <c r="BO20" i="34"/>
  <c r="BO23" i="34"/>
  <c r="BR23" i="34" s="1"/>
  <c r="BO28" i="34"/>
  <c r="BR28" i="34" s="1"/>
  <c r="BS28" i="34" s="1"/>
  <c r="BT28" i="34" s="1"/>
  <c r="BU28" i="34" s="1"/>
  <c r="BO36" i="34"/>
  <c r="BO37" i="34"/>
  <c r="BR37" i="34" s="1"/>
  <c r="BO41" i="34"/>
  <c r="BO44" i="34"/>
  <c r="BO50" i="34"/>
  <c r="BR50" i="34" s="1"/>
  <c r="BO52" i="34"/>
  <c r="BP14" i="34"/>
  <c r="BP25" i="34"/>
  <c r="BP30" i="34"/>
  <c r="BP49" i="34"/>
  <c r="BR12" i="34"/>
  <c r="BR20" i="34"/>
  <c r="BR36" i="34"/>
  <c r="BR44" i="34"/>
  <c r="S13" i="30"/>
  <c r="S14" i="30"/>
  <c r="S15" i="30"/>
  <c r="S16" i="30"/>
  <c r="S17" i="30"/>
  <c r="AJ17" i="30" s="1"/>
  <c r="AM17" i="30" s="1"/>
  <c r="S18" i="30"/>
  <c r="AJ18" i="30" s="1"/>
  <c r="AM18" i="30" s="1"/>
  <c r="S19" i="30"/>
  <c r="S20" i="30"/>
  <c r="S21" i="30"/>
  <c r="S22" i="30"/>
  <c r="S23" i="30"/>
  <c r="S24" i="30"/>
  <c r="S25" i="30"/>
  <c r="AJ25" i="30" s="1"/>
  <c r="AM25" i="30" s="1"/>
  <c r="S26" i="30"/>
  <c r="AJ26" i="30" s="1"/>
  <c r="AM26" i="30" s="1"/>
  <c r="S27" i="30"/>
  <c r="S28" i="30"/>
  <c r="S29" i="30"/>
  <c r="S30" i="30"/>
  <c r="S31" i="30"/>
  <c r="S32" i="30"/>
  <c r="S33" i="30"/>
  <c r="AJ33" i="30" s="1"/>
  <c r="AM33" i="30" s="1"/>
  <c r="S34" i="30"/>
  <c r="AB34" i="30" s="1"/>
  <c r="AE34" i="30" s="1"/>
  <c r="S35" i="30"/>
  <c r="S36" i="30"/>
  <c r="S37" i="30"/>
  <c r="S38" i="30"/>
  <c r="S39" i="30"/>
  <c r="S40" i="30"/>
  <c r="S41" i="30"/>
  <c r="AJ41" i="30" s="1"/>
  <c r="AM41" i="30" s="1"/>
  <c r="S42" i="30"/>
  <c r="AJ42" i="30" s="1"/>
  <c r="AM42" i="30" s="1"/>
  <c r="S43" i="30"/>
  <c r="S44" i="30"/>
  <c r="S45" i="30"/>
  <c r="S46" i="30"/>
  <c r="S47" i="30"/>
  <c r="S48" i="30"/>
  <c r="S49" i="30"/>
  <c r="AJ49" i="30" s="1"/>
  <c r="AM49" i="30" s="1"/>
  <c r="S50" i="30"/>
  <c r="AB50" i="30" s="1"/>
  <c r="AE50" i="30" s="1"/>
  <c r="S51" i="30"/>
  <c r="S52" i="30"/>
  <c r="S53" i="30"/>
  <c r="S54" i="30"/>
  <c r="S55" i="30"/>
  <c r="S56" i="30"/>
  <c r="S57" i="30"/>
  <c r="AJ57" i="30" s="1"/>
  <c r="AM57" i="30" s="1"/>
  <c r="S58" i="30"/>
  <c r="AB58" i="30" s="1"/>
  <c r="AE58" i="30" s="1"/>
  <c r="S59" i="30"/>
  <c r="T13" i="30"/>
  <c r="T14" i="30"/>
  <c r="T15" i="30"/>
  <c r="T16" i="30"/>
  <c r="T17" i="30"/>
  <c r="T18" i="30"/>
  <c r="U18" i="30" s="1"/>
  <c r="V18" i="30" s="1"/>
  <c r="W18" i="30" s="1"/>
  <c r="X18" i="30" s="1"/>
  <c r="T19" i="30"/>
  <c r="U19" i="30" s="1"/>
  <c r="V19" i="30" s="1"/>
  <c r="W19" i="30" s="1"/>
  <c r="X19" i="30" s="1"/>
  <c r="T20" i="30"/>
  <c r="T21" i="30"/>
  <c r="T22" i="30"/>
  <c r="T23" i="30"/>
  <c r="T24" i="30"/>
  <c r="T25" i="30"/>
  <c r="T26" i="30"/>
  <c r="U26" i="30" s="1"/>
  <c r="V26" i="30" s="1"/>
  <c r="W26" i="30" s="1"/>
  <c r="X26" i="30" s="1"/>
  <c r="T27" i="30"/>
  <c r="U27" i="30" s="1"/>
  <c r="V27" i="30" s="1"/>
  <c r="W27" i="30" s="1"/>
  <c r="X27" i="30" s="1"/>
  <c r="T28" i="30"/>
  <c r="T29" i="30"/>
  <c r="T30" i="30"/>
  <c r="T31" i="30"/>
  <c r="T32" i="30"/>
  <c r="T33" i="30"/>
  <c r="T34" i="30"/>
  <c r="U34" i="30" s="1"/>
  <c r="V34" i="30" s="1"/>
  <c r="W34" i="30" s="1"/>
  <c r="X34" i="30" s="1"/>
  <c r="T35" i="30"/>
  <c r="U35" i="30" s="1"/>
  <c r="V35" i="30" s="1"/>
  <c r="W35" i="30" s="1"/>
  <c r="X35" i="30" s="1"/>
  <c r="T36" i="30"/>
  <c r="T37" i="30"/>
  <c r="T38" i="30"/>
  <c r="T39" i="30"/>
  <c r="T40" i="30"/>
  <c r="T41" i="30"/>
  <c r="T42" i="30"/>
  <c r="U42" i="30" s="1"/>
  <c r="V42" i="30" s="1"/>
  <c r="W42" i="30" s="1"/>
  <c r="X42" i="30" s="1"/>
  <c r="T43" i="30"/>
  <c r="U43" i="30" s="1"/>
  <c r="V43" i="30" s="1"/>
  <c r="W43" i="30" s="1"/>
  <c r="X43" i="30" s="1"/>
  <c r="T44" i="30"/>
  <c r="T45" i="30"/>
  <c r="T46" i="30"/>
  <c r="T47" i="30"/>
  <c r="T48" i="30"/>
  <c r="T49" i="30"/>
  <c r="T50" i="30"/>
  <c r="U50" i="30" s="1"/>
  <c r="V50" i="30" s="1"/>
  <c r="W50" i="30" s="1"/>
  <c r="X50" i="30" s="1"/>
  <c r="T51" i="30"/>
  <c r="U51" i="30" s="1"/>
  <c r="V51" i="30" s="1"/>
  <c r="W51" i="30" s="1"/>
  <c r="X51" i="30" s="1"/>
  <c r="T52" i="30"/>
  <c r="T53" i="30"/>
  <c r="T54" i="30"/>
  <c r="T55" i="30"/>
  <c r="T56" i="30"/>
  <c r="T57" i="30"/>
  <c r="T58" i="30"/>
  <c r="U58" i="30" s="1"/>
  <c r="V58" i="30" s="1"/>
  <c r="W58" i="30" s="1"/>
  <c r="X58" i="30" s="1"/>
  <c r="T59" i="30"/>
  <c r="U59" i="30" s="1"/>
  <c r="V59" i="30" s="1"/>
  <c r="W59" i="30" s="1"/>
  <c r="X59" i="30" s="1"/>
  <c r="U13" i="30"/>
  <c r="U14" i="30"/>
  <c r="U15" i="30"/>
  <c r="U16" i="30"/>
  <c r="U17" i="30"/>
  <c r="U20" i="30"/>
  <c r="V20" i="30" s="1"/>
  <c r="W20" i="30" s="1"/>
  <c r="X20" i="30" s="1"/>
  <c r="U21" i="30"/>
  <c r="V21" i="30" s="1"/>
  <c r="W21" i="30" s="1"/>
  <c r="X21" i="30" s="1"/>
  <c r="U22" i="30"/>
  <c r="V22" i="30" s="1"/>
  <c r="W22" i="30" s="1"/>
  <c r="X22" i="30" s="1"/>
  <c r="U23" i="30"/>
  <c r="U24" i="30"/>
  <c r="U25" i="30"/>
  <c r="U28" i="30"/>
  <c r="V28" i="30" s="1"/>
  <c r="W28" i="30" s="1"/>
  <c r="X28" i="30" s="1"/>
  <c r="U29" i="30"/>
  <c r="V29" i="30" s="1"/>
  <c r="W29" i="30" s="1"/>
  <c r="X29" i="30" s="1"/>
  <c r="U30" i="30"/>
  <c r="V30" i="30" s="1"/>
  <c r="W30" i="30" s="1"/>
  <c r="X30" i="30" s="1"/>
  <c r="U31" i="30"/>
  <c r="V31" i="30" s="1"/>
  <c r="W31" i="30" s="1"/>
  <c r="X31" i="30" s="1"/>
  <c r="AN31" i="30" s="1"/>
  <c r="AO31" i="30" s="1"/>
  <c r="AP31" i="30" s="1"/>
  <c r="U32" i="30"/>
  <c r="V32" i="30" s="1"/>
  <c r="W32" i="30" s="1"/>
  <c r="X32" i="30" s="1"/>
  <c r="U33" i="30"/>
  <c r="U36" i="30"/>
  <c r="V36" i="30" s="1"/>
  <c r="W36" i="30" s="1"/>
  <c r="X36" i="30" s="1"/>
  <c r="U37" i="30"/>
  <c r="U38" i="30"/>
  <c r="V38" i="30" s="1"/>
  <c r="W38" i="30" s="1"/>
  <c r="X38" i="30" s="1"/>
  <c r="U39" i="30"/>
  <c r="V39" i="30" s="1"/>
  <c r="W39" i="30" s="1"/>
  <c r="X39" i="30" s="1"/>
  <c r="U40" i="30"/>
  <c r="U41" i="30"/>
  <c r="V41" i="30" s="1"/>
  <c r="W41" i="30" s="1"/>
  <c r="X41" i="30" s="1"/>
  <c r="U44" i="30"/>
  <c r="V44" i="30" s="1"/>
  <c r="W44" i="30" s="1"/>
  <c r="X44" i="30" s="1"/>
  <c r="U45" i="30"/>
  <c r="U46" i="30"/>
  <c r="V46" i="30" s="1"/>
  <c r="W46" i="30" s="1"/>
  <c r="X46" i="30" s="1"/>
  <c r="U47" i="30"/>
  <c r="V47" i="30" s="1"/>
  <c r="W47" i="30" s="1"/>
  <c r="X47" i="30" s="1"/>
  <c r="U48" i="30"/>
  <c r="V48" i="30" s="1"/>
  <c r="W48" i="30" s="1"/>
  <c r="X48" i="30" s="1"/>
  <c r="U49" i="30"/>
  <c r="U52" i="30"/>
  <c r="V52" i="30" s="1"/>
  <c r="W52" i="30" s="1"/>
  <c r="X52" i="30" s="1"/>
  <c r="U53" i="30"/>
  <c r="V53" i="30" s="1"/>
  <c r="W53" i="30" s="1"/>
  <c r="X53" i="30" s="1"/>
  <c r="U54" i="30"/>
  <c r="V54" i="30" s="1"/>
  <c r="W54" i="30" s="1"/>
  <c r="X54" i="30" s="1"/>
  <c r="U55" i="30"/>
  <c r="U56" i="30"/>
  <c r="U57" i="30"/>
  <c r="V57" i="30" s="1"/>
  <c r="W57" i="30" s="1"/>
  <c r="X57" i="30" s="1"/>
  <c r="V13" i="30"/>
  <c r="W13" i="30" s="1"/>
  <c r="X13" i="30" s="1"/>
  <c r="V14" i="30"/>
  <c r="W14" i="30" s="1"/>
  <c r="X14" i="30" s="1"/>
  <c r="V15" i="30"/>
  <c r="V16" i="30"/>
  <c r="W16" i="30" s="1"/>
  <c r="X16" i="30" s="1"/>
  <c r="V17" i="30"/>
  <c r="W17" i="30" s="1"/>
  <c r="X17" i="30" s="1"/>
  <c r="V23" i="30"/>
  <c r="V24" i="30"/>
  <c r="V25" i="30"/>
  <c r="V33" i="30"/>
  <c r="W33" i="30" s="1"/>
  <c r="X33" i="30" s="1"/>
  <c r="V37" i="30"/>
  <c r="W37" i="30" s="1"/>
  <c r="X37" i="30" s="1"/>
  <c r="V40" i="30"/>
  <c r="V45" i="30"/>
  <c r="W45" i="30" s="1"/>
  <c r="X45" i="30" s="1"/>
  <c r="V49" i="30"/>
  <c r="W49" i="30" s="1"/>
  <c r="X49" i="30" s="1"/>
  <c r="V55" i="30"/>
  <c r="W55" i="30" s="1"/>
  <c r="X55" i="30" s="1"/>
  <c r="AN55" i="30" s="1"/>
  <c r="AO55" i="30" s="1"/>
  <c r="AP55" i="30" s="1"/>
  <c r="V56" i="30"/>
  <c r="W56" i="30" s="1"/>
  <c r="X56" i="30" s="1"/>
  <c r="W15" i="30"/>
  <c r="W23" i="30"/>
  <c r="X23" i="30" s="1"/>
  <c r="W24" i="30"/>
  <c r="X24" i="30" s="1"/>
  <c r="W25" i="30"/>
  <c r="X25" i="30" s="1"/>
  <c r="W40" i="30"/>
  <c r="X40" i="30" s="1"/>
  <c r="X15" i="30"/>
  <c r="Y13" i="30"/>
  <c r="Y14" i="30"/>
  <c r="Y15" i="30"/>
  <c r="Y16" i="30"/>
  <c r="AB16" i="30" s="1"/>
  <c r="Y17" i="30"/>
  <c r="Y18" i="30"/>
  <c r="Y19" i="30"/>
  <c r="Y20" i="30"/>
  <c r="Y21" i="30"/>
  <c r="Y22" i="30"/>
  <c r="Y23" i="30"/>
  <c r="Y24" i="30"/>
  <c r="AB24" i="30" s="1"/>
  <c r="Y25" i="30"/>
  <c r="Y26" i="30"/>
  <c r="Y27" i="30"/>
  <c r="Y28" i="30"/>
  <c r="Y29" i="30"/>
  <c r="Y30" i="30"/>
  <c r="Y31" i="30"/>
  <c r="Y32" i="30"/>
  <c r="AB32" i="30" s="1"/>
  <c r="Y33" i="30"/>
  <c r="Y34" i="30"/>
  <c r="Y35" i="30"/>
  <c r="Y36" i="30"/>
  <c r="Y37" i="30"/>
  <c r="Y38" i="30"/>
  <c r="Y39" i="30"/>
  <c r="Y40" i="30"/>
  <c r="AB40" i="30" s="1"/>
  <c r="Y41" i="30"/>
  <c r="Y42" i="30"/>
  <c r="Y43" i="30"/>
  <c r="Y44" i="30"/>
  <c r="Y45" i="30"/>
  <c r="Y46" i="30"/>
  <c r="Y47" i="30"/>
  <c r="Y48" i="30"/>
  <c r="AB48" i="30" s="1"/>
  <c r="Y49" i="30"/>
  <c r="Y50" i="30"/>
  <c r="Y51" i="30"/>
  <c r="Y52" i="30"/>
  <c r="Y53" i="30"/>
  <c r="Y54" i="30"/>
  <c r="Y55" i="30"/>
  <c r="Y56" i="30"/>
  <c r="AB56" i="30" s="1"/>
  <c r="Y57" i="30"/>
  <c r="Y58" i="30"/>
  <c r="Y59" i="30"/>
  <c r="Z13" i="30"/>
  <c r="Z14" i="30"/>
  <c r="Z15" i="30"/>
  <c r="Z16" i="30"/>
  <c r="Z17" i="30"/>
  <c r="Z18" i="30"/>
  <c r="Z19" i="30"/>
  <c r="Z20" i="30"/>
  <c r="Z21" i="30"/>
  <c r="Z22" i="30"/>
  <c r="Z23" i="30"/>
  <c r="Z24" i="30"/>
  <c r="Z25" i="30"/>
  <c r="Z26" i="30"/>
  <c r="Z27" i="30"/>
  <c r="Z28" i="30"/>
  <c r="Z29" i="30"/>
  <c r="Z30" i="30"/>
  <c r="Z31" i="30"/>
  <c r="Z32" i="30"/>
  <c r="Z33" i="30"/>
  <c r="Z34" i="30"/>
  <c r="Z35" i="30"/>
  <c r="Z36" i="30"/>
  <c r="Z37" i="30"/>
  <c r="Z38" i="30"/>
  <c r="Z39" i="30"/>
  <c r="Z40" i="30"/>
  <c r="Z41" i="30"/>
  <c r="Z42" i="30"/>
  <c r="Z43" i="30"/>
  <c r="Z44" i="30"/>
  <c r="Z45" i="30"/>
  <c r="Z46" i="30"/>
  <c r="Z47" i="30"/>
  <c r="Z48" i="30"/>
  <c r="Z49" i="30"/>
  <c r="Z50" i="30"/>
  <c r="Z51" i="30"/>
  <c r="Z52" i="30"/>
  <c r="Z53" i="30"/>
  <c r="Z54" i="30"/>
  <c r="Z55" i="30"/>
  <c r="Z56" i="30"/>
  <c r="Z57" i="30"/>
  <c r="Z58" i="30"/>
  <c r="Z59" i="30"/>
  <c r="AA13" i="30"/>
  <c r="AA14" i="30"/>
  <c r="AA15" i="30"/>
  <c r="AA16" i="30"/>
  <c r="AA17" i="30"/>
  <c r="AA18" i="30"/>
  <c r="AA19" i="30"/>
  <c r="AA20" i="30"/>
  <c r="AA21" i="30"/>
  <c r="AA22" i="30"/>
  <c r="AA23" i="30"/>
  <c r="AA24" i="30"/>
  <c r="AA25" i="30"/>
  <c r="AA26" i="30"/>
  <c r="AA27" i="30"/>
  <c r="AA28" i="30"/>
  <c r="AA29" i="30"/>
  <c r="AA30" i="30"/>
  <c r="AA31" i="30"/>
  <c r="AA32" i="30"/>
  <c r="AA33" i="30"/>
  <c r="AA34" i="30"/>
  <c r="AA35" i="30"/>
  <c r="AA36" i="30"/>
  <c r="AA37" i="30"/>
  <c r="AA38" i="30"/>
  <c r="AA39" i="30"/>
  <c r="AA40" i="30"/>
  <c r="AA41" i="30"/>
  <c r="AA42" i="30"/>
  <c r="AA43" i="30"/>
  <c r="AA44" i="30"/>
  <c r="AA45" i="30"/>
  <c r="AA46" i="30"/>
  <c r="AA47" i="30"/>
  <c r="AA48" i="30"/>
  <c r="AA49" i="30"/>
  <c r="AA50" i="30"/>
  <c r="AA51" i="30"/>
  <c r="AA52" i="30"/>
  <c r="AA53" i="30"/>
  <c r="AA54" i="30"/>
  <c r="AA55" i="30"/>
  <c r="AA56" i="30"/>
  <c r="AA57" i="30"/>
  <c r="AA58" i="30"/>
  <c r="AA59" i="30"/>
  <c r="AB13" i="30"/>
  <c r="AB14" i="30"/>
  <c r="AB15" i="30"/>
  <c r="AB19" i="30"/>
  <c r="AE19" i="30" s="1"/>
  <c r="AF19" i="30" s="1"/>
  <c r="AD19" i="30" s="1"/>
  <c r="AB20" i="30"/>
  <c r="AC20" i="30" s="1"/>
  <c r="AL20" i="30" s="1"/>
  <c r="AB21" i="30"/>
  <c r="AE21" i="30" s="1"/>
  <c r="AB22" i="30"/>
  <c r="AC22" i="30" s="1"/>
  <c r="AB23" i="30"/>
  <c r="AB27" i="30"/>
  <c r="AE27" i="30" s="1"/>
  <c r="AF27" i="30" s="1"/>
  <c r="AD27" i="30" s="1"/>
  <c r="AB28" i="30"/>
  <c r="AB29" i="30"/>
  <c r="AC29" i="30" s="1"/>
  <c r="AB30" i="30"/>
  <c r="AC30" i="30" s="1"/>
  <c r="AB31" i="30"/>
  <c r="AE31" i="30" s="1"/>
  <c r="AB35" i="30"/>
  <c r="AE35" i="30" s="1"/>
  <c r="AF35" i="30" s="1"/>
  <c r="AD35" i="30" s="1"/>
  <c r="AB36" i="30"/>
  <c r="AB37" i="30"/>
  <c r="AC37" i="30" s="1"/>
  <c r="AB38" i="30"/>
  <c r="AB39" i="30"/>
  <c r="AC39" i="30" s="1"/>
  <c r="AL39" i="30" s="1"/>
  <c r="AB42" i="30"/>
  <c r="AE42" i="30" s="1"/>
  <c r="AB43" i="30"/>
  <c r="AE43" i="30" s="1"/>
  <c r="AF43" i="30" s="1"/>
  <c r="AD43" i="30" s="1"/>
  <c r="AB44" i="30"/>
  <c r="AC44" i="30" s="1"/>
  <c r="AB45" i="30"/>
  <c r="AC45" i="30" s="1"/>
  <c r="AB46" i="30"/>
  <c r="AB47" i="30"/>
  <c r="AC47" i="30" s="1"/>
  <c r="AB51" i="30"/>
  <c r="AE51" i="30" s="1"/>
  <c r="AF51" i="30" s="1"/>
  <c r="AW51" i="30" s="1"/>
  <c r="AB52" i="30"/>
  <c r="AC52" i="30" s="1"/>
  <c r="AB53" i="30"/>
  <c r="AC53" i="30" s="1"/>
  <c r="AB54" i="30"/>
  <c r="AC54" i="30" s="1"/>
  <c r="AB55" i="30"/>
  <c r="AE55" i="30" s="1"/>
  <c r="AB59" i="30"/>
  <c r="AE59" i="30" s="1"/>
  <c r="AF59" i="30" s="1"/>
  <c r="AD59" i="30" s="1"/>
  <c r="AC13" i="30"/>
  <c r="AC14" i="30"/>
  <c r="AC15" i="30"/>
  <c r="AC23" i="30"/>
  <c r="AC28" i="30"/>
  <c r="AC36" i="30"/>
  <c r="AC38" i="30"/>
  <c r="AC46" i="30"/>
  <c r="AC55" i="30"/>
  <c r="AE13" i="30"/>
  <c r="AE14" i="30"/>
  <c r="AF14" i="30" s="1"/>
  <c r="AE15" i="30"/>
  <c r="AF15" i="30" s="1"/>
  <c r="AE22" i="30"/>
  <c r="AF22" i="30" s="1"/>
  <c r="AE23" i="30"/>
  <c r="AE28" i="30"/>
  <c r="AF28" i="30" s="1"/>
  <c r="AE36" i="30"/>
  <c r="AF36" i="30" s="1"/>
  <c r="AE37" i="30"/>
  <c r="AF37" i="30" s="1"/>
  <c r="AE38" i="30"/>
  <c r="AF38" i="30" s="1"/>
  <c r="AE39" i="30"/>
  <c r="AF39" i="30" s="1"/>
  <c r="AE44" i="30"/>
  <c r="AF44" i="30" s="1"/>
  <c r="AE45" i="30"/>
  <c r="AF45" i="30" s="1"/>
  <c r="AE46" i="30"/>
  <c r="AF46" i="30" s="1"/>
  <c r="AE47" i="30"/>
  <c r="AE54" i="30"/>
  <c r="AF54" i="30" s="1"/>
  <c r="AF13" i="30"/>
  <c r="AD13" i="30" s="1"/>
  <c r="AL13" i="30" s="1"/>
  <c r="AF23" i="30"/>
  <c r="AD23" i="30" s="1"/>
  <c r="AF47" i="30"/>
  <c r="AD47" i="30" s="1"/>
  <c r="AH13" i="30"/>
  <c r="AH14" i="30"/>
  <c r="AH15" i="30"/>
  <c r="AH16" i="30"/>
  <c r="AH17" i="30"/>
  <c r="AH18" i="30"/>
  <c r="AH19" i="30"/>
  <c r="AH20" i="30"/>
  <c r="AH21" i="30"/>
  <c r="AH22" i="30"/>
  <c r="AH23" i="30"/>
  <c r="AL23" i="30" s="1"/>
  <c r="AH24" i="30"/>
  <c r="AH25" i="30"/>
  <c r="AH26" i="30"/>
  <c r="AH27" i="30"/>
  <c r="AH28" i="30"/>
  <c r="AH29" i="30"/>
  <c r="AH30" i="30"/>
  <c r="AH31" i="30"/>
  <c r="AH32" i="30"/>
  <c r="AH33" i="30"/>
  <c r="AH34" i="30"/>
  <c r="AH35" i="30"/>
  <c r="AH36" i="30"/>
  <c r="AL36" i="30" s="1"/>
  <c r="AH37" i="30"/>
  <c r="AL37" i="30" s="1"/>
  <c r="AH38" i="30"/>
  <c r="AH39" i="30"/>
  <c r="AH40" i="30"/>
  <c r="AH41" i="30"/>
  <c r="AH42" i="30"/>
  <c r="AH43" i="30"/>
  <c r="AH44" i="30"/>
  <c r="AH45" i="30"/>
  <c r="AH46" i="30"/>
  <c r="AH47" i="30"/>
  <c r="AL47" i="30" s="1"/>
  <c r="AH48" i="30"/>
  <c r="AH49" i="30"/>
  <c r="AH50" i="30"/>
  <c r="AH51" i="30"/>
  <c r="AH52" i="30"/>
  <c r="AH53" i="30"/>
  <c r="AH54" i="30"/>
  <c r="AH55" i="30"/>
  <c r="AH56" i="30"/>
  <c r="AH57" i="30"/>
  <c r="AH58" i="30"/>
  <c r="AH59" i="30"/>
  <c r="AI13" i="30"/>
  <c r="AI14" i="30"/>
  <c r="AI15" i="30"/>
  <c r="AK15" i="30" s="1"/>
  <c r="AI16" i="30"/>
  <c r="AK16" i="30" s="1"/>
  <c r="AI17" i="30"/>
  <c r="AI18" i="30"/>
  <c r="AK18" i="30" s="1"/>
  <c r="AI19" i="30"/>
  <c r="AK19" i="30" s="1"/>
  <c r="AI20" i="30"/>
  <c r="AI21" i="30"/>
  <c r="AK21" i="30" s="1"/>
  <c r="AI22" i="30"/>
  <c r="AK22" i="30" s="1"/>
  <c r="AI23" i="30"/>
  <c r="AK23" i="30" s="1"/>
  <c r="AI24" i="30"/>
  <c r="AK24" i="30" s="1"/>
  <c r="AI25" i="30"/>
  <c r="AI26" i="30"/>
  <c r="AK26" i="30" s="1"/>
  <c r="AI27" i="30"/>
  <c r="AK27" i="30" s="1"/>
  <c r="AI28" i="30"/>
  <c r="AI29" i="30"/>
  <c r="AI30" i="30"/>
  <c r="AI31" i="30"/>
  <c r="AK31" i="30" s="1"/>
  <c r="AI32" i="30"/>
  <c r="AK32" i="30" s="1"/>
  <c r="AI33" i="30"/>
  <c r="AI34" i="30"/>
  <c r="AK34" i="30" s="1"/>
  <c r="AI35" i="30"/>
  <c r="AK35" i="30" s="1"/>
  <c r="AI36" i="30"/>
  <c r="AI37" i="30"/>
  <c r="AK37" i="30" s="1"/>
  <c r="AI38" i="30"/>
  <c r="AK38" i="30" s="1"/>
  <c r="AI39" i="30"/>
  <c r="AI40" i="30"/>
  <c r="AK40" i="30" s="1"/>
  <c r="AI41" i="30"/>
  <c r="AI42" i="30"/>
  <c r="AK42" i="30" s="1"/>
  <c r="AI43" i="30"/>
  <c r="AK43" i="30" s="1"/>
  <c r="AI44" i="30"/>
  <c r="AI45" i="30"/>
  <c r="AK45" i="30" s="1"/>
  <c r="AI46" i="30"/>
  <c r="AK46" i="30" s="1"/>
  <c r="AI47" i="30"/>
  <c r="AK47" i="30" s="1"/>
  <c r="AI48" i="30"/>
  <c r="AK48" i="30" s="1"/>
  <c r="AI49" i="30"/>
  <c r="AI50" i="30"/>
  <c r="AK50" i="30" s="1"/>
  <c r="AI51" i="30"/>
  <c r="AK51" i="30" s="1"/>
  <c r="AI52" i="30"/>
  <c r="AI53" i="30"/>
  <c r="AK53" i="30" s="1"/>
  <c r="AI54" i="30"/>
  <c r="AK54" i="30" s="1"/>
  <c r="AI55" i="30"/>
  <c r="AK55" i="30" s="1"/>
  <c r="AI56" i="30"/>
  <c r="AK56" i="30" s="1"/>
  <c r="AI57" i="30"/>
  <c r="AI58" i="30"/>
  <c r="AK58" i="30" s="1"/>
  <c r="AI59" i="30"/>
  <c r="AK59" i="30" s="1"/>
  <c r="AJ13" i="30"/>
  <c r="AJ14" i="30"/>
  <c r="AM14" i="30" s="1"/>
  <c r="AJ15" i="30"/>
  <c r="AM15" i="30" s="1"/>
  <c r="AJ16" i="30"/>
  <c r="AJ19" i="30"/>
  <c r="AG19" i="30" s="1"/>
  <c r="AJ20" i="30"/>
  <c r="AJ21" i="30"/>
  <c r="AM21" i="30" s="1"/>
  <c r="AJ22" i="30"/>
  <c r="AJ23" i="30"/>
  <c r="AM23" i="30" s="1"/>
  <c r="AJ24" i="30"/>
  <c r="AM24" i="30" s="1"/>
  <c r="AJ27" i="30"/>
  <c r="AG27" i="30" s="1"/>
  <c r="AJ28" i="30"/>
  <c r="AJ29" i="30"/>
  <c r="AJ30" i="30"/>
  <c r="AJ31" i="30"/>
  <c r="AJ32" i="30"/>
  <c r="AM32" i="30" s="1"/>
  <c r="AJ34" i="30"/>
  <c r="AM34" i="30" s="1"/>
  <c r="AJ35" i="30"/>
  <c r="AG35" i="30" s="1"/>
  <c r="AJ36" i="30"/>
  <c r="AJ37" i="30"/>
  <c r="AJ38" i="30"/>
  <c r="AM38" i="30" s="1"/>
  <c r="AJ39" i="30"/>
  <c r="AJ40" i="30"/>
  <c r="AJ43" i="30"/>
  <c r="AG43" i="30" s="1"/>
  <c r="AJ44" i="30"/>
  <c r="AJ45" i="30"/>
  <c r="AJ46" i="30"/>
  <c r="AJ47" i="30"/>
  <c r="AJ48" i="30"/>
  <c r="AJ51" i="30"/>
  <c r="AG51" i="30" s="1"/>
  <c r="AJ52" i="30"/>
  <c r="AM52" i="30" s="1"/>
  <c r="AJ53" i="30"/>
  <c r="AJ54" i="30"/>
  <c r="AJ55" i="30"/>
  <c r="AJ56" i="30"/>
  <c r="AJ59" i="30"/>
  <c r="AK13" i="30"/>
  <c r="AK14" i="30"/>
  <c r="AK17" i="30"/>
  <c r="AK20" i="30"/>
  <c r="AK25" i="30"/>
  <c r="AK28" i="30"/>
  <c r="AK29" i="30"/>
  <c r="AK30" i="30"/>
  <c r="AK33" i="30"/>
  <c r="AK36" i="30"/>
  <c r="AK39" i="30"/>
  <c r="AK41" i="30"/>
  <c r="AK44" i="30"/>
  <c r="AK49" i="30"/>
  <c r="AK52" i="30"/>
  <c r="AK57" i="30"/>
  <c r="AM13" i="30"/>
  <c r="AM16" i="30"/>
  <c r="AM20" i="30"/>
  <c r="AM22" i="30"/>
  <c r="AM28" i="30"/>
  <c r="AM29" i="30"/>
  <c r="AM30" i="30"/>
  <c r="AM31" i="30"/>
  <c r="AM36" i="30"/>
  <c r="AM37" i="30"/>
  <c r="AM39" i="30"/>
  <c r="AM44" i="30"/>
  <c r="AM45" i="30"/>
  <c r="AM46" i="30"/>
  <c r="AM47" i="30"/>
  <c r="AM53" i="30"/>
  <c r="AM54" i="30"/>
  <c r="AM55" i="30"/>
  <c r="AQ23" i="30"/>
  <c r="AQ27" i="30"/>
  <c r="AQ35" i="30"/>
  <c r="AQ43" i="30"/>
  <c r="AQ47" i="30"/>
  <c r="AR13" i="30"/>
  <c r="AR14" i="30"/>
  <c r="AR15" i="30"/>
  <c r="AR22" i="30"/>
  <c r="AR23" i="30"/>
  <c r="AR35" i="30"/>
  <c r="AR36" i="30"/>
  <c r="AR37" i="30"/>
  <c r="AR38" i="30"/>
  <c r="AR43" i="30"/>
  <c r="AR47" i="30"/>
  <c r="AR54" i="30"/>
  <c r="AV13" i="30"/>
  <c r="AV14" i="30"/>
  <c r="AV19" i="30"/>
  <c r="AV22" i="30"/>
  <c r="AV23" i="30"/>
  <c r="AV27" i="30"/>
  <c r="AV35" i="30"/>
  <c r="AV36" i="30"/>
  <c r="AV37" i="30"/>
  <c r="AV38" i="30"/>
  <c r="AV43" i="30"/>
  <c r="AV46" i="30"/>
  <c r="AV47" i="30"/>
  <c r="AV54" i="30"/>
  <c r="AV59" i="30"/>
  <c r="AW19" i="30"/>
  <c r="AW22" i="30"/>
  <c r="AW23" i="30"/>
  <c r="AW27" i="30"/>
  <c r="AW35" i="30"/>
  <c r="AW38" i="30"/>
  <c r="AW43" i="30"/>
  <c r="AW46" i="30"/>
  <c r="AW47" i="30"/>
  <c r="AW54" i="30"/>
  <c r="AW59" i="30"/>
  <c r="AX13" i="30"/>
  <c r="AX14" i="30"/>
  <c r="AX15" i="30"/>
  <c r="BG15" i="30" s="1"/>
  <c r="AX16" i="30"/>
  <c r="AX17" i="30"/>
  <c r="AX18" i="30"/>
  <c r="AX19" i="30"/>
  <c r="AX20" i="30"/>
  <c r="BO20" i="30" s="1"/>
  <c r="AX21" i="30"/>
  <c r="AX22" i="30"/>
  <c r="AX23" i="30"/>
  <c r="BG23" i="30" s="1"/>
  <c r="AX24" i="30"/>
  <c r="AX25" i="30"/>
  <c r="AX26" i="30"/>
  <c r="AX27" i="30"/>
  <c r="AX28" i="30"/>
  <c r="BG28" i="30" s="1"/>
  <c r="AX29" i="30"/>
  <c r="AX30" i="30"/>
  <c r="AX31" i="30"/>
  <c r="BG31" i="30" s="1"/>
  <c r="AX32" i="30"/>
  <c r="AX33" i="30"/>
  <c r="AX34" i="30"/>
  <c r="AX35" i="30"/>
  <c r="AX36" i="30"/>
  <c r="BO36" i="30" s="1"/>
  <c r="BR36" i="30" s="1"/>
  <c r="BS36" i="30" s="1"/>
  <c r="BT36" i="30" s="1"/>
  <c r="AX37" i="30"/>
  <c r="AX38" i="30"/>
  <c r="AX39" i="30"/>
  <c r="BG39" i="30" s="1"/>
  <c r="AX40" i="30"/>
  <c r="AX41" i="30"/>
  <c r="AX42" i="30"/>
  <c r="AX43" i="30"/>
  <c r="BO43" i="30" s="1"/>
  <c r="BR43" i="30" s="1"/>
  <c r="AX44" i="30"/>
  <c r="BG44" i="30" s="1"/>
  <c r="AX45" i="30"/>
  <c r="AX46" i="30"/>
  <c r="AX47" i="30"/>
  <c r="BG47" i="30" s="1"/>
  <c r="AX48" i="30"/>
  <c r="AX49" i="30"/>
  <c r="AX50" i="30"/>
  <c r="AX51" i="30"/>
  <c r="AX52" i="30"/>
  <c r="BO52" i="30" s="1"/>
  <c r="BR52" i="30" s="1"/>
  <c r="BS52" i="30" s="1"/>
  <c r="BT52" i="30" s="1"/>
  <c r="AX53" i="30"/>
  <c r="AX54" i="30"/>
  <c r="AX55" i="30"/>
  <c r="BG55" i="30" s="1"/>
  <c r="AX56" i="30"/>
  <c r="AX57" i="30"/>
  <c r="AX58" i="30"/>
  <c r="AX59" i="30"/>
  <c r="AY13" i="30"/>
  <c r="AZ13" i="30" s="1"/>
  <c r="BA13" i="30" s="1"/>
  <c r="BB13" i="30" s="1"/>
  <c r="BC13" i="30" s="1"/>
  <c r="AY14" i="30"/>
  <c r="AZ14" i="30" s="1"/>
  <c r="BA14" i="30" s="1"/>
  <c r="BB14" i="30" s="1"/>
  <c r="BC14" i="30" s="1"/>
  <c r="AY15" i="30"/>
  <c r="AY16" i="30"/>
  <c r="AZ16" i="30" s="1"/>
  <c r="BA16" i="30" s="1"/>
  <c r="BB16" i="30" s="1"/>
  <c r="BC16" i="30" s="1"/>
  <c r="AY17" i="30"/>
  <c r="AY18" i="30"/>
  <c r="AY19" i="30"/>
  <c r="AZ19" i="30" s="1"/>
  <c r="BA19" i="30" s="1"/>
  <c r="AY20" i="30"/>
  <c r="AZ20" i="30" s="1"/>
  <c r="BA20" i="30" s="1"/>
  <c r="BB20" i="30" s="1"/>
  <c r="BC20" i="30" s="1"/>
  <c r="AY21" i="30"/>
  <c r="AZ21" i="30" s="1"/>
  <c r="BA21" i="30" s="1"/>
  <c r="BB21" i="30" s="1"/>
  <c r="BC21" i="30" s="1"/>
  <c r="AY22" i="30"/>
  <c r="AZ22" i="30" s="1"/>
  <c r="BA22" i="30" s="1"/>
  <c r="BB22" i="30" s="1"/>
  <c r="BC22" i="30" s="1"/>
  <c r="AY23" i="30"/>
  <c r="AY24" i="30"/>
  <c r="AZ24" i="30" s="1"/>
  <c r="BA24" i="30" s="1"/>
  <c r="BB24" i="30" s="1"/>
  <c r="BC24" i="30" s="1"/>
  <c r="AY25" i="30"/>
  <c r="AY26" i="30"/>
  <c r="AY27" i="30"/>
  <c r="AZ27" i="30" s="1"/>
  <c r="BA27" i="30" s="1"/>
  <c r="BB27" i="30" s="1"/>
  <c r="BC27" i="30" s="1"/>
  <c r="AY28" i="30"/>
  <c r="AZ28" i="30" s="1"/>
  <c r="BA28" i="30" s="1"/>
  <c r="BB28" i="30" s="1"/>
  <c r="BC28" i="30" s="1"/>
  <c r="AY29" i="30"/>
  <c r="AZ29" i="30" s="1"/>
  <c r="BA29" i="30" s="1"/>
  <c r="BB29" i="30" s="1"/>
  <c r="BC29" i="30" s="1"/>
  <c r="AY30" i="30"/>
  <c r="AZ30" i="30" s="1"/>
  <c r="BA30" i="30" s="1"/>
  <c r="BB30" i="30" s="1"/>
  <c r="BC30" i="30" s="1"/>
  <c r="AY31" i="30"/>
  <c r="AY32" i="30"/>
  <c r="AZ32" i="30" s="1"/>
  <c r="BA32" i="30" s="1"/>
  <c r="BB32" i="30" s="1"/>
  <c r="BC32" i="30" s="1"/>
  <c r="AY33" i="30"/>
  <c r="AY34" i="30"/>
  <c r="AY35" i="30"/>
  <c r="AZ35" i="30" s="1"/>
  <c r="BA35" i="30" s="1"/>
  <c r="AY36" i="30"/>
  <c r="AZ36" i="30" s="1"/>
  <c r="BA36" i="30" s="1"/>
  <c r="BB36" i="30" s="1"/>
  <c r="BC36" i="30" s="1"/>
  <c r="AY37" i="30"/>
  <c r="AZ37" i="30" s="1"/>
  <c r="BA37" i="30" s="1"/>
  <c r="BB37" i="30" s="1"/>
  <c r="BC37" i="30" s="1"/>
  <c r="AY38" i="30"/>
  <c r="AZ38" i="30" s="1"/>
  <c r="BA38" i="30" s="1"/>
  <c r="BB38" i="30" s="1"/>
  <c r="BC38" i="30" s="1"/>
  <c r="AY39" i="30"/>
  <c r="AY40" i="30"/>
  <c r="AZ40" i="30" s="1"/>
  <c r="BA40" i="30" s="1"/>
  <c r="BB40" i="30" s="1"/>
  <c r="BC40" i="30" s="1"/>
  <c r="AY41" i="30"/>
  <c r="AY42" i="30"/>
  <c r="AY43" i="30"/>
  <c r="AZ43" i="30" s="1"/>
  <c r="BA43" i="30" s="1"/>
  <c r="AY44" i="30"/>
  <c r="AZ44" i="30" s="1"/>
  <c r="BA44" i="30" s="1"/>
  <c r="BB44" i="30" s="1"/>
  <c r="BC44" i="30" s="1"/>
  <c r="AY45" i="30"/>
  <c r="AZ45" i="30" s="1"/>
  <c r="BA45" i="30" s="1"/>
  <c r="BB45" i="30" s="1"/>
  <c r="BC45" i="30" s="1"/>
  <c r="AY46" i="30"/>
  <c r="AY47" i="30"/>
  <c r="AY48" i="30"/>
  <c r="AZ48" i="30" s="1"/>
  <c r="BA48" i="30" s="1"/>
  <c r="BB48" i="30" s="1"/>
  <c r="BC48" i="30" s="1"/>
  <c r="AY49" i="30"/>
  <c r="AY50" i="30"/>
  <c r="AY51" i="30"/>
  <c r="AZ51" i="30" s="1"/>
  <c r="BA51" i="30" s="1"/>
  <c r="BB51" i="30" s="1"/>
  <c r="BC51" i="30" s="1"/>
  <c r="AY52" i="30"/>
  <c r="AZ52" i="30" s="1"/>
  <c r="BA52" i="30" s="1"/>
  <c r="BB52" i="30" s="1"/>
  <c r="BC52" i="30" s="1"/>
  <c r="AY53" i="30"/>
  <c r="AZ53" i="30" s="1"/>
  <c r="BA53" i="30" s="1"/>
  <c r="BB53" i="30" s="1"/>
  <c r="BC53" i="30" s="1"/>
  <c r="AY54" i="30"/>
  <c r="AZ54" i="30" s="1"/>
  <c r="BA54" i="30" s="1"/>
  <c r="BB54" i="30" s="1"/>
  <c r="BC54" i="30" s="1"/>
  <c r="AY55" i="30"/>
  <c r="AY56" i="30"/>
  <c r="AZ56" i="30" s="1"/>
  <c r="BA56" i="30" s="1"/>
  <c r="BB56" i="30" s="1"/>
  <c r="BC56" i="30" s="1"/>
  <c r="AY57" i="30"/>
  <c r="AY58" i="30"/>
  <c r="AY59" i="30"/>
  <c r="AZ59" i="30" s="1"/>
  <c r="BA59" i="30" s="1"/>
  <c r="BB59" i="30" s="1"/>
  <c r="BC59" i="30" s="1"/>
  <c r="AZ15" i="30"/>
  <c r="BA15" i="30" s="1"/>
  <c r="BB15" i="30" s="1"/>
  <c r="BC15" i="30" s="1"/>
  <c r="AZ17" i="30"/>
  <c r="BA17" i="30" s="1"/>
  <c r="BB17" i="30" s="1"/>
  <c r="BC17" i="30" s="1"/>
  <c r="AZ18" i="30"/>
  <c r="BA18" i="30" s="1"/>
  <c r="BB18" i="30" s="1"/>
  <c r="BC18" i="30" s="1"/>
  <c r="AZ23" i="30"/>
  <c r="BA23" i="30" s="1"/>
  <c r="BB23" i="30" s="1"/>
  <c r="BC23" i="30" s="1"/>
  <c r="AZ25" i="30"/>
  <c r="BA25" i="30" s="1"/>
  <c r="BB25" i="30" s="1"/>
  <c r="BC25" i="30" s="1"/>
  <c r="AZ26" i="30"/>
  <c r="AZ31" i="30"/>
  <c r="BA31" i="30" s="1"/>
  <c r="BB31" i="30" s="1"/>
  <c r="BC31" i="30" s="1"/>
  <c r="AZ33" i="30"/>
  <c r="BA33" i="30" s="1"/>
  <c r="BB33" i="30" s="1"/>
  <c r="BC33" i="30" s="1"/>
  <c r="AZ34" i="30"/>
  <c r="BA34" i="30" s="1"/>
  <c r="BB34" i="30" s="1"/>
  <c r="BC34" i="30" s="1"/>
  <c r="AZ39" i="30"/>
  <c r="BA39" i="30" s="1"/>
  <c r="BB39" i="30" s="1"/>
  <c r="BC39" i="30" s="1"/>
  <c r="AZ41" i="30"/>
  <c r="BA41" i="30" s="1"/>
  <c r="BB41" i="30" s="1"/>
  <c r="BC41" i="30" s="1"/>
  <c r="AZ42" i="30"/>
  <c r="AZ46" i="30"/>
  <c r="BA46" i="30" s="1"/>
  <c r="BB46" i="30" s="1"/>
  <c r="BC46" i="30" s="1"/>
  <c r="AZ47" i="30"/>
  <c r="BA47" i="30" s="1"/>
  <c r="BB47" i="30" s="1"/>
  <c r="BC47" i="30" s="1"/>
  <c r="AZ49" i="30"/>
  <c r="BA49" i="30" s="1"/>
  <c r="BB49" i="30" s="1"/>
  <c r="BC49" i="30" s="1"/>
  <c r="AZ50" i="30"/>
  <c r="BA50" i="30" s="1"/>
  <c r="BB50" i="30" s="1"/>
  <c r="BC50" i="30" s="1"/>
  <c r="AZ55" i="30"/>
  <c r="BA55" i="30" s="1"/>
  <c r="BB55" i="30" s="1"/>
  <c r="BC55" i="30" s="1"/>
  <c r="AZ57" i="30"/>
  <c r="BA57" i="30" s="1"/>
  <c r="BB57" i="30" s="1"/>
  <c r="BC57" i="30" s="1"/>
  <c r="AZ58" i="30"/>
  <c r="BA26" i="30"/>
  <c r="BB26" i="30" s="1"/>
  <c r="BC26" i="30" s="1"/>
  <c r="BA42" i="30"/>
  <c r="BB42" i="30" s="1"/>
  <c r="BC42" i="30" s="1"/>
  <c r="BA58" i="30"/>
  <c r="BB58" i="30" s="1"/>
  <c r="BC58" i="30" s="1"/>
  <c r="BB19" i="30"/>
  <c r="BC19" i="30" s="1"/>
  <c r="BB35" i="30"/>
  <c r="BC35" i="30" s="1"/>
  <c r="BB43" i="30"/>
  <c r="BC43" i="30" s="1"/>
  <c r="BD13" i="30"/>
  <c r="BG13" i="30" s="1"/>
  <c r="BJ13" i="30" s="1"/>
  <c r="BK13" i="30" s="1"/>
  <c r="BV13" i="30" s="1"/>
  <c r="BD14" i="30"/>
  <c r="BD15" i="30"/>
  <c r="BD16" i="30"/>
  <c r="BG16" i="30" s="1"/>
  <c r="BD17" i="30"/>
  <c r="BD18" i="30"/>
  <c r="BD19" i="30"/>
  <c r="BD20" i="30"/>
  <c r="BD21" i="30"/>
  <c r="BD22" i="30"/>
  <c r="BD23" i="30"/>
  <c r="BD24" i="30"/>
  <c r="BG24" i="30" s="1"/>
  <c r="BD25" i="30"/>
  <c r="BD26" i="30"/>
  <c r="BD27" i="30"/>
  <c r="BD28" i="30"/>
  <c r="BD29" i="30"/>
  <c r="BD30" i="30"/>
  <c r="BD31" i="30"/>
  <c r="BD32" i="30"/>
  <c r="BG32" i="30" s="1"/>
  <c r="BD33" i="30"/>
  <c r="BD34" i="30"/>
  <c r="BD35" i="30"/>
  <c r="BD36" i="30"/>
  <c r="BD37" i="30"/>
  <c r="BD38" i="30"/>
  <c r="BD39" i="30"/>
  <c r="BD40" i="30"/>
  <c r="BG40" i="30" s="1"/>
  <c r="BD41" i="30"/>
  <c r="BD42" i="30"/>
  <c r="BD43" i="30"/>
  <c r="BD44" i="30"/>
  <c r="BD45" i="30"/>
  <c r="BG45" i="30" s="1"/>
  <c r="BJ45" i="30" s="1"/>
  <c r="BK45" i="30" s="1"/>
  <c r="BI45" i="30" s="1"/>
  <c r="BD46" i="30"/>
  <c r="BD47" i="30"/>
  <c r="BD48" i="30"/>
  <c r="BG48" i="30" s="1"/>
  <c r="BD49" i="30"/>
  <c r="BD50" i="30"/>
  <c r="BD51" i="30"/>
  <c r="BD52" i="30"/>
  <c r="BD53" i="30"/>
  <c r="BD54" i="30"/>
  <c r="BD55" i="30"/>
  <c r="BD56" i="30"/>
  <c r="BG56" i="30" s="1"/>
  <c r="BD57" i="30"/>
  <c r="BD58" i="30"/>
  <c r="BD59" i="30"/>
  <c r="BE13" i="30"/>
  <c r="BE14" i="30"/>
  <c r="BG14" i="30" s="1"/>
  <c r="BJ14" i="30" s="1"/>
  <c r="BK14" i="30" s="1"/>
  <c r="BI14" i="30" s="1"/>
  <c r="BE15" i="30"/>
  <c r="BE16" i="30"/>
  <c r="BE17" i="30"/>
  <c r="BG17" i="30" s="1"/>
  <c r="BE18" i="30"/>
  <c r="BE19" i="30"/>
  <c r="BE20" i="30"/>
  <c r="BE21" i="30"/>
  <c r="BE22" i="30"/>
  <c r="BE23" i="30"/>
  <c r="BE24" i="30"/>
  <c r="BE25" i="30"/>
  <c r="BG25" i="30" s="1"/>
  <c r="BE26" i="30"/>
  <c r="BE27" i="30"/>
  <c r="BE28" i="30"/>
  <c r="BE29" i="30"/>
  <c r="BE30" i="30"/>
  <c r="BG30" i="30" s="1"/>
  <c r="BH30" i="30" s="1"/>
  <c r="BQ30" i="30" s="1"/>
  <c r="BE31" i="30"/>
  <c r="BE32" i="30"/>
  <c r="BE33" i="30"/>
  <c r="BG33" i="30" s="1"/>
  <c r="BE34" i="30"/>
  <c r="BE35" i="30"/>
  <c r="BE36" i="30"/>
  <c r="BE37" i="30"/>
  <c r="BE38" i="30"/>
  <c r="BE39" i="30"/>
  <c r="BE40" i="30"/>
  <c r="BE41" i="30"/>
  <c r="BG41" i="30" s="1"/>
  <c r="BE42" i="30"/>
  <c r="BE43" i="30"/>
  <c r="BE44" i="30"/>
  <c r="BE45" i="30"/>
  <c r="BE46" i="30"/>
  <c r="BG46" i="30" s="1"/>
  <c r="BJ46" i="30" s="1"/>
  <c r="BK46" i="30" s="1"/>
  <c r="BI46" i="30" s="1"/>
  <c r="BE47" i="30"/>
  <c r="BE48" i="30"/>
  <c r="BE49" i="30"/>
  <c r="BG49" i="30" s="1"/>
  <c r="BE50" i="30"/>
  <c r="BE51" i="30"/>
  <c r="BE52" i="30"/>
  <c r="BE53" i="30"/>
  <c r="BE54" i="30"/>
  <c r="BE55" i="30"/>
  <c r="BE56" i="30"/>
  <c r="BE57" i="30"/>
  <c r="BG57" i="30" s="1"/>
  <c r="BE58" i="30"/>
  <c r="BE59" i="30"/>
  <c r="BF13" i="30"/>
  <c r="BF14" i="30"/>
  <c r="BF15" i="30"/>
  <c r="BF16" i="30"/>
  <c r="BF17" i="30"/>
  <c r="BF18" i="30"/>
  <c r="BF19" i="30"/>
  <c r="BF20" i="30"/>
  <c r="BF21" i="30"/>
  <c r="BF22" i="30"/>
  <c r="BF23" i="30"/>
  <c r="BF24" i="30"/>
  <c r="BF25" i="30"/>
  <c r="BF26" i="30"/>
  <c r="BF27" i="30"/>
  <c r="BF28" i="30"/>
  <c r="BF29" i="30"/>
  <c r="BF30" i="30"/>
  <c r="BF31" i="30"/>
  <c r="BF32" i="30"/>
  <c r="BF33" i="30"/>
  <c r="BF34" i="30"/>
  <c r="BF35" i="30"/>
  <c r="BF36" i="30"/>
  <c r="BF37" i="30"/>
  <c r="BF38" i="30"/>
  <c r="BF39" i="30"/>
  <c r="BF40" i="30"/>
  <c r="BF41" i="30"/>
  <c r="BF42" i="30"/>
  <c r="BF43" i="30"/>
  <c r="BF44" i="30"/>
  <c r="BF45" i="30"/>
  <c r="BF46" i="30"/>
  <c r="BF47" i="30"/>
  <c r="BJ47" i="30" s="1"/>
  <c r="BK47" i="30" s="1"/>
  <c r="CB47" i="30" s="1"/>
  <c r="BF48" i="30"/>
  <c r="BF49" i="30"/>
  <c r="BF50" i="30"/>
  <c r="BF51" i="30"/>
  <c r="BF52" i="30"/>
  <c r="BF53" i="30"/>
  <c r="BF54" i="30"/>
  <c r="BF55" i="30"/>
  <c r="BH55" i="30" s="1"/>
  <c r="BF56" i="30"/>
  <c r="BF57" i="30"/>
  <c r="BF58" i="30"/>
  <c r="BF59" i="30"/>
  <c r="BG21" i="30"/>
  <c r="BG22" i="30"/>
  <c r="BJ22" i="30" s="1"/>
  <c r="BK22" i="30" s="1"/>
  <c r="BI22" i="30" s="1"/>
  <c r="BG29" i="30"/>
  <c r="BJ29" i="30" s="1"/>
  <c r="BK29" i="30" s="1"/>
  <c r="BI29" i="30" s="1"/>
  <c r="BG37" i="30"/>
  <c r="BG38" i="30"/>
  <c r="BH38" i="30" s="1"/>
  <c r="BG53" i="30"/>
  <c r="BG54" i="30"/>
  <c r="BJ54" i="30" s="1"/>
  <c r="BK54" i="30" s="1"/>
  <c r="BI54" i="30" s="1"/>
  <c r="BH23" i="30"/>
  <c r="BH39" i="30"/>
  <c r="BI13" i="30"/>
  <c r="BJ15" i="30"/>
  <c r="BK15" i="30" s="1"/>
  <c r="BJ31" i="30"/>
  <c r="BK31" i="30" s="1"/>
  <c r="CB31" i="30" s="1"/>
  <c r="BM13" i="30"/>
  <c r="BM14" i="30"/>
  <c r="BM15" i="30"/>
  <c r="BM16" i="30"/>
  <c r="BM17" i="30"/>
  <c r="BM18" i="30"/>
  <c r="BM19" i="30"/>
  <c r="BM20" i="30"/>
  <c r="BM21" i="30"/>
  <c r="BM22" i="30"/>
  <c r="BM23" i="30"/>
  <c r="BM24" i="30"/>
  <c r="BM25" i="30"/>
  <c r="BM26" i="30"/>
  <c r="BM27" i="30"/>
  <c r="BM28" i="30"/>
  <c r="BM29" i="30"/>
  <c r="BM30" i="30"/>
  <c r="BM31" i="30"/>
  <c r="BM32" i="30"/>
  <c r="BM33" i="30"/>
  <c r="BM34" i="30"/>
  <c r="BM35" i="30"/>
  <c r="BM36" i="30"/>
  <c r="BM37" i="30"/>
  <c r="BM38" i="30"/>
  <c r="BM39" i="30"/>
  <c r="BM40" i="30"/>
  <c r="BM41" i="30"/>
  <c r="BM42" i="30"/>
  <c r="BM43" i="30"/>
  <c r="BM44" i="30"/>
  <c r="BM45" i="30"/>
  <c r="BM46" i="30"/>
  <c r="BM47" i="30"/>
  <c r="BM48" i="30"/>
  <c r="BM49" i="30"/>
  <c r="BM50" i="30"/>
  <c r="BM51" i="30"/>
  <c r="BM52" i="30"/>
  <c r="BM53" i="30"/>
  <c r="BM54" i="30"/>
  <c r="BM55" i="30"/>
  <c r="BM56" i="30"/>
  <c r="BM57" i="30"/>
  <c r="BM58" i="30"/>
  <c r="BM59" i="30"/>
  <c r="BN13" i="30"/>
  <c r="BN14" i="30"/>
  <c r="BN15" i="30"/>
  <c r="BN16" i="30"/>
  <c r="BN17" i="30"/>
  <c r="BN18" i="30"/>
  <c r="BN19" i="30"/>
  <c r="BP19" i="30" s="1"/>
  <c r="BN20" i="30"/>
  <c r="BP20" i="30" s="1"/>
  <c r="BN21" i="30"/>
  <c r="BP21" i="30" s="1"/>
  <c r="BN22" i="30"/>
  <c r="BN23" i="30"/>
  <c r="BN24" i="30"/>
  <c r="BP24" i="30" s="1"/>
  <c r="BN25" i="30"/>
  <c r="BN26" i="30"/>
  <c r="BP26" i="30" s="1"/>
  <c r="BN27" i="30"/>
  <c r="BP27" i="30" s="1"/>
  <c r="BN28" i="30"/>
  <c r="BP28" i="30" s="1"/>
  <c r="BN29" i="30"/>
  <c r="BP29" i="30" s="1"/>
  <c r="BN30" i="30"/>
  <c r="BN31" i="30"/>
  <c r="BN32" i="30"/>
  <c r="BP32" i="30" s="1"/>
  <c r="BN33" i="30"/>
  <c r="BP33" i="30" s="1"/>
  <c r="BN34" i="30"/>
  <c r="BP34" i="30" s="1"/>
  <c r="BN35" i="30"/>
  <c r="BP35" i="30" s="1"/>
  <c r="BN36" i="30"/>
  <c r="BP36" i="30" s="1"/>
  <c r="BN37" i="30"/>
  <c r="BP37" i="30" s="1"/>
  <c r="BN38" i="30"/>
  <c r="BN39" i="30"/>
  <c r="BN40" i="30"/>
  <c r="BN41" i="30"/>
  <c r="BP41" i="30" s="1"/>
  <c r="BN42" i="30"/>
  <c r="BP42" i="30" s="1"/>
  <c r="BN43" i="30"/>
  <c r="BP43" i="30" s="1"/>
  <c r="BN44" i="30"/>
  <c r="BP44" i="30" s="1"/>
  <c r="BN45" i="30"/>
  <c r="BN46" i="30"/>
  <c r="BN47" i="30"/>
  <c r="BN48" i="30"/>
  <c r="BN49" i="30"/>
  <c r="BN50" i="30"/>
  <c r="BN51" i="30"/>
  <c r="BP51" i="30" s="1"/>
  <c r="BN52" i="30"/>
  <c r="BP52" i="30" s="1"/>
  <c r="BN53" i="30"/>
  <c r="BP53" i="30" s="1"/>
  <c r="BN54" i="30"/>
  <c r="BN55" i="30"/>
  <c r="BN56" i="30"/>
  <c r="BN57" i="30"/>
  <c r="BN58" i="30"/>
  <c r="BP58" i="30" s="1"/>
  <c r="BN59" i="30"/>
  <c r="BP59" i="30" s="1"/>
  <c r="BO13" i="30"/>
  <c r="BO14" i="30"/>
  <c r="BO15" i="30"/>
  <c r="BO16" i="30"/>
  <c r="BO17" i="30"/>
  <c r="BO18" i="30"/>
  <c r="BO21" i="30"/>
  <c r="BR21" i="30" s="1"/>
  <c r="BO22" i="30"/>
  <c r="BO23" i="30"/>
  <c r="BO24" i="30"/>
  <c r="BO25" i="30"/>
  <c r="BO26" i="30"/>
  <c r="BO29" i="30"/>
  <c r="BR29" i="30" s="1"/>
  <c r="BO30" i="30"/>
  <c r="BO31" i="30"/>
  <c r="BO32" i="30"/>
  <c r="BR32" i="30" s="1"/>
  <c r="BO33" i="30"/>
  <c r="BL33" i="30" s="1"/>
  <c r="BO34" i="30"/>
  <c r="BO37" i="30"/>
  <c r="BO38" i="30"/>
  <c r="BR38" i="30" s="1"/>
  <c r="BO39" i="30"/>
  <c r="BR39" i="30" s="1"/>
  <c r="BO40" i="30"/>
  <c r="BO41" i="30"/>
  <c r="BL41" i="30" s="1"/>
  <c r="BO42" i="30"/>
  <c r="BR42" i="30" s="1"/>
  <c r="BO45" i="30"/>
  <c r="BR45" i="30" s="1"/>
  <c r="BO46" i="30"/>
  <c r="BR46" i="30" s="1"/>
  <c r="BO47" i="30"/>
  <c r="BR47" i="30" s="1"/>
  <c r="BS47" i="30" s="1"/>
  <c r="BT47" i="30" s="1"/>
  <c r="BU47" i="30" s="1"/>
  <c r="BO48" i="30"/>
  <c r="BO49" i="30"/>
  <c r="BO50" i="30"/>
  <c r="BR50" i="30" s="1"/>
  <c r="BO53" i="30"/>
  <c r="BR53" i="30" s="1"/>
  <c r="BO54" i="30"/>
  <c r="BR54" i="30" s="1"/>
  <c r="BO55" i="30"/>
  <c r="BO56" i="30"/>
  <c r="BR56" i="30" s="1"/>
  <c r="BO57" i="30"/>
  <c r="BR57" i="30" s="1"/>
  <c r="BO58" i="30"/>
  <c r="BR58" i="30" s="1"/>
  <c r="BP13" i="30"/>
  <c r="BP14" i="30"/>
  <c r="BP15" i="30"/>
  <c r="BP16" i="30"/>
  <c r="BP17" i="30"/>
  <c r="BP18" i="30"/>
  <c r="BP22" i="30"/>
  <c r="BP23" i="30"/>
  <c r="BP25" i="30"/>
  <c r="BP30" i="30"/>
  <c r="BP31" i="30"/>
  <c r="BP38" i="30"/>
  <c r="BP39" i="30"/>
  <c r="BP40" i="30"/>
  <c r="BP45" i="30"/>
  <c r="BL45" i="30" s="1"/>
  <c r="BP46" i="30"/>
  <c r="BP47" i="30"/>
  <c r="BP48" i="30"/>
  <c r="BP49" i="30"/>
  <c r="BP50" i="30"/>
  <c r="BP54" i="30"/>
  <c r="BP55" i="30"/>
  <c r="BP56" i="30"/>
  <c r="BP57" i="30"/>
  <c r="BQ39" i="30"/>
  <c r="BR13" i="30"/>
  <c r="BR15" i="30"/>
  <c r="BR16" i="30"/>
  <c r="BR17" i="30"/>
  <c r="BR18" i="30"/>
  <c r="BR23" i="30"/>
  <c r="BS23" i="30" s="1"/>
  <c r="BT23" i="30" s="1"/>
  <c r="BU23" i="30" s="1"/>
  <c r="BR24" i="30"/>
  <c r="BS24" i="30" s="1"/>
  <c r="BT24" i="30" s="1"/>
  <c r="BU24" i="30" s="1"/>
  <c r="BR25" i="30"/>
  <c r="BR26" i="30"/>
  <c r="BR33" i="30"/>
  <c r="BR34" i="30"/>
  <c r="BR37" i="30"/>
  <c r="BR55" i="30"/>
  <c r="BS58" i="30"/>
  <c r="BT58" i="30" s="1"/>
  <c r="BV22" i="30"/>
  <c r="BV29" i="30"/>
  <c r="BV54" i="30"/>
  <c r="BW13" i="30"/>
  <c r="BW14" i="30"/>
  <c r="BW22" i="30"/>
  <c r="BW29" i="30"/>
  <c r="BW54" i="30"/>
  <c r="CA13" i="30"/>
  <c r="CA22" i="30"/>
  <c r="CA54" i="30"/>
  <c r="CB13" i="30"/>
  <c r="CB22" i="30"/>
  <c r="CB29" i="30"/>
  <c r="CB54" i="30"/>
  <c r="CC13" i="30"/>
  <c r="CT13" i="30" s="1"/>
  <c r="CW13" i="30" s="1"/>
  <c r="CC14" i="30"/>
  <c r="CL14" i="30" s="1"/>
  <c r="CC15" i="30"/>
  <c r="CC16" i="30"/>
  <c r="CC17" i="30"/>
  <c r="CL17" i="30" s="1"/>
  <c r="CC18" i="30"/>
  <c r="CC19" i="30"/>
  <c r="CL19" i="30" s="1"/>
  <c r="CO19" i="30" s="1"/>
  <c r="CP19" i="30" s="1"/>
  <c r="CN19" i="30" s="1"/>
  <c r="CC20" i="30"/>
  <c r="CL20" i="30" s="1"/>
  <c r="CC21" i="30"/>
  <c r="CT21" i="30" s="1"/>
  <c r="CC22" i="30"/>
  <c r="CC23" i="30"/>
  <c r="CC24" i="30"/>
  <c r="CC25" i="30"/>
  <c r="CL25" i="30" s="1"/>
  <c r="CC26" i="30"/>
  <c r="CC27" i="30"/>
  <c r="CL27" i="30" s="1"/>
  <c r="CO27" i="30" s="1"/>
  <c r="DF27" i="30" s="1"/>
  <c r="CC28" i="30"/>
  <c r="CL28" i="30" s="1"/>
  <c r="CC29" i="30"/>
  <c r="CT29" i="30" s="1"/>
  <c r="CW29" i="30" s="1"/>
  <c r="CC30" i="30"/>
  <c r="CL30" i="30" s="1"/>
  <c r="CC31" i="30"/>
  <c r="CC32" i="30"/>
  <c r="CC33" i="30"/>
  <c r="CL33" i="30" s="1"/>
  <c r="CC34" i="30"/>
  <c r="CC35" i="30"/>
  <c r="CL35" i="30" s="1"/>
  <c r="CO35" i="30" s="1"/>
  <c r="CP35" i="30" s="1"/>
  <c r="CC36" i="30"/>
  <c r="CL36" i="30" s="1"/>
  <c r="CC37" i="30"/>
  <c r="CT37" i="30" s="1"/>
  <c r="CW37" i="30" s="1"/>
  <c r="CX37" i="30" s="1"/>
  <c r="CY37" i="30" s="1"/>
  <c r="CC38" i="30"/>
  <c r="CC39" i="30"/>
  <c r="CC40" i="30"/>
  <c r="CC41" i="30"/>
  <c r="CL41" i="30" s="1"/>
  <c r="CC42" i="30"/>
  <c r="CC43" i="30"/>
  <c r="CL43" i="30" s="1"/>
  <c r="CO43" i="30" s="1"/>
  <c r="CP43" i="30" s="1"/>
  <c r="CN43" i="30" s="1"/>
  <c r="CC44" i="30"/>
  <c r="CC45" i="30"/>
  <c r="CT45" i="30" s="1"/>
  <c r="CC46" i="30"/>
  <c r="CL46" i="30" s="1"/>
  <c r="CC47" i="30"/>
  <c r="CC48" i="30"/>
  <c r="CC49" i="30"/>
  <c r="CL49" i="30" s="1"/>
  <c r="CC50" i="30"/>
  <c r="CC51" i="30"/>
  <c r="CL51" i="30" s="1"/>
  <c r="CO51" i="30" s="1"/>
  <c r="DB51" i="30" s="1"/>
  <c r="CC52" i="30"/>
  <c r="CC53" i="30"/>
  <c r="CT53" i="30" s="1"/>
  <c r="CW53" i="30" s="1"/>
  <c r="CC54" i="30"/>
  <c r="CL54" i="30" s="1"/>
  <c r="CC55" i="30"/>
  <c r="CC56" i="30"/>
  <c r="CC57" i="30"/>
  <c r="CL57" i="30" s="1"/>
  <c r="CC58" i="30"/>
  <c r="CC59" i="30"/>
  <c r="CL59" i="30" s="1"/>
  <c r="CO59" i="30" s="1"/>
  <c r="DB59" i="30" s="1"/>
  <c r="CD13" i="30"/>
  <c r="CE13" i="30" s="1"/>
  <c r="CF13" i="30" s="1"/>
  <c r="CG13" i="30" s="1"/>
  <c r="CH13" i="30" s="1"/>
  <c r="CD14" i="30"/>
  <c r="CE14" i="30" s="1"/>
  <c r="CF14" i="30" s="1"/>
  <c r="CG14" i="30" s="1"/>
  <c r="CH14" i="30" s="1"/>
  <c r="CD15" i="30"/>
  <c r="CD16" i="30"/>
  <c r="CD17" i="30"/>
  <c r="CE17" i="30" s="1"/>
  <c r="CD18" i="30"/>
  <c r="CE18" i="30" s="1"/>
  <c r="CF18" i="30" s="1"/>
  <c r="CG18" i="30" s="1"/>
  <c r="CD19" i="30"/>
  <c r="CD20" i="30"/>
  <c r="CE20" i="30" s="1"/>
  <c r="CF20" i="30" s="1"/>
  <c r="CG20" i="30" s="1"/>
  <c r="CH20" i="30" s="1"/>
  <c r="CD21" i="30"/>
  <c r="CE21" i="30" s="1"/>
  <c r="CF21" i="30" s="1"/>
  <c r="CG21" i="30" s="1"/>
  <c r="CH21" i="30" s="1"/>
  <c r="CD22" i="30"/>
  <c r="CE22" i="30" s="1"/>
  <c r="CF22" i="30" s="1"/>
  <c r="CG22" i="30" s="1"/>
  <c r="CH22" i="30" s="1"/>
  <c r="CD23" i="30"/>
  <c r="CE23" i="30" s="1"/>
  <c r="CF23" i="30" s="1"/>
  <c r="CG23" i="30" s="1"/>
  <c r="CH23" i="30" s="1"/>
  <c r="CD24" i="30"/>
  <c r="CD25" i="30"/>
  <c r="CE25" i="30" s="1"/>
  <c r="CD26" i="30"/>
  <c r="CE26" i="30" s="1"/>
  <c r="CF26" i="30" s="1"/>
  <c r="CD27" i="30"/>
  <c r="CD28" i="30"/>
  <c r="CE28" i="30" s="1"/>
  <c r="CF28" i="30" s="1"/>
  <c r="CG28" i="30" s="1"/>
  <c r="CH28" i="30" s="1"/>
  <c r="CD29" i="30"/>
  <c r="CE29" i="30" s="1"/>
  <c r="CF29" i="30" s="1"/>
  <c r="CG29" i="30" s="1"/>
  <c r="CH29" i="30" s="1"/>
  <c r="CD30" i="30"/>
  <c r="CE30" i="30" s="1"/>
  <c r="CF30" i="30" s="1"/>
  <c r="CG30" i="30" s="1"/>
  <c r="CH30" i="30" s="1"/>
  <c r="CD31" i="30"/>
  <c r="CD32" i="30"/>
  <c r="CD33" i="30"/>
  <c r="CE33" i="30" s="1"/>
  <c r="CD34" i="30"/>
  <c r="CE34" i="30" s="1"/>
  <c r="CF34" i="30" s="1"/>
  <c r="CG34" i="30" s="1"/>
  <c r="CH34" i="30" s="1"/>
  <c r="CD35" i="30"/>
  <c r="CD36" i="30"/>
  <c r="CE36" i="30" s="1"/>
  <c r="CF36" i="30" s="1"/>
  <c r="CG36" i="30" s="1"/>
  <c r="CH36" i="30" s="1"/>
  <c r="CD37" i="30"/>
  <c r="CE37" i="30" s="1"/>
  <c r="CF37" i="30" s="1"/>
  <c r="CG37" i="30" s="1"/>
  <c r="CH37" i="30" s="1"/>
  <c r="CD38" i="30"/>
  <c r="CE38" i="30" s="1"/>
  <c r="CF38" i="30" s="1"/>
  <c r="CG38" i="30" s="1"/>
  <c r="CH38" i="30" s="1"/>
  <c r="CD39" i="30"/>
  <c r="CE39" i="30" s="1"/>
  <c r="CF39" i="30" s="1"/>
  <c r="CG39" i="30" s="1"/>
  <c r="CH39" i="30" s="1"/>
  <c r="CD40" i="30"/>
  <c r="CD41" i="30"/>
  <c r="CE41" i="30" s="1"/>
  <c r="CD42" i="30"/>
  <c r="CE42" i="30" s="1"/>
  <c r="CF42" i="30" s="1"/>
  <c r="CG42" i="30" s="1"/>
  <c r="CH42" i="30" s="1"/>
  <c r="CD43" i="30"/>
  <c r="CD44" i="30"/>
  <c r="CE44" i="30" s="1"/>
  <c r="CF44" i="30" s="1"/>
  <c r="CG44" i="30" s="1"/>
  <c r="CH44" i="30" s="1"/>
  <c r="CD45" i="30"/>
  <c r="CE45" i="30" s="1"/>
  <c r="CF45" i="30" s="1"/>
  <c r="CG45" i="30" s="1"/>
  <c r="CH45" i="30" s="1"/>
  <c r="CD46" i="30"/>
  <c r="CE46" i="30" s="1"/>
  <c r="CF46" i="30" s="1"/>
  <c r="CG46" i="30" s="1"/>
  <c r="CH46" i="30" s="1"/>
  <c r="CD47" i="30"/>
  <c r="CD48" i="30"/>
  <c r="CE48" i="30" s="1"/>
  <c r="CF48" i="30" s="1"/>
  <c r="CG48" i="30" s="1"/>
  <c r="CH48" i="30" s="1"/>
  <c r="CD49" i="30"/>
  <c r="CE49" i="30" s="1"/>
  <c r="CD50" i="30"/>
  <c r="CE50" i="30" s="1"/>
  <c r="CF50" i="30" s="1"/>
  <c r="CG50" i="30" s="1"/>
  <c r="CH50" i="30" s="1"/>
  <c r="CD51" i="30"/>
  <c r="CD52" i="30"/>
  <c r="CE52" i="30" s="1"/>
  <c r="CF52" i="30" s="1"/>
  <c r="CG52" i="30" s="1"/>
  <c r="CH52" i="30" s="1"/>
  <c r="CD53" i="30"/>
  <c r="CE53" i="30" s="1"/>
  <c r="CF53" i="30" s="1"/>
  <c r="CG53" i="30" s="1"/>
  <c r="CH53" i="30" s="1"/>
  <c r="CD54" i="30"/>
  <c r="CE54" i="30" s="1"/>
  <c r="CF54" i="30" s="1"/>
  <c r="CG54" i="30" s="1"/>
  <c r="CH54" i="30" s="1"/>
  <c r="CD55" i="30"/>
  <c r="CE55" i="30" s="1"/>
  <c r="CF55" i="30" s="1"/>
  <c r="CG55" i="30" s="1"/>
  <c r="CH55" i="30" s="1"/>
  <c r="CD56" i="30"/>
  <c r="CD57" i="30"/>
  <c r="CE57" i="30" s="1"/>
  <c r="CD58" i="30"/>
  <c r="CE58" i="30" s="1"/>
  <c r="CF58" i="30" s="1"/>
  <c r="CG58" i="30" s="1"/>
  <c r="CH58" i="30" s="1"/>
  <c r="CD59" i="30"/>
  <c r="CE15" i="30"/>
  <c r="CF15" i="30" s="1"/>
  <c r="CG15" i="30" s="1"/>
  <c r="CH15" i="30" s="1"/>
  <c r="CE16" i="30"/>
  <c r="CE19" i="30"/>
  <c r="CF19" i="30" s="1"/>
  <c r="CG19" i="30" s="1"/>
  <c r="CH19" i="30" s="1"/>
  <c r="CE24" i="30"/>
  <c r="CF24" i="30" s="1"/>
  <c r="CG24" i="30" s="1"/>
  <c r="CH24" i="30" s="1"/>
  <c r="CE27" i="30"/>
  <c r="CF27" i="30" s="1"/>
  <c r="CG27" i="30" s="1"/>
  <c r="CH27" i="30" s="1"/>
  <c r="CE31" i="30"/>
  <c r="CF31" i="30" s="1"/>
  <c r="CG31" i="30" s="1"/>
  <c r="CH31" i="30" s="1"/>
  <c r="CE32" i="30"/>
  <c r="CF32" i="30" s="1"/>
  <c r="CG32" i="30" s="1"/>
  <c r="CH32" i="30" s="1"/>
  <c r="CE35" i="30"/>
  <c r="CF35" i="30" s="1"/>
  <c r="CG35" i="30" s="1"/>
  <c r="CH35" i="30" s="1"/>
  <c r="CE40" i="30"/>
  <c r="CF40" i="30" s="1"/>
  <c r="CG40" i="30" s="1"/>
  <c r="CH40" i="30" s="1"/>
  <c r="CE43" i="30"/>
  <c r="CF43" i="30" s="1"/>
  <c r="CG43" i="30" s="1"/>
  <c r="CE47" i="30"/>
  <c r="CF47" i="30" s="1"/>
  <c r="CG47" i="30" s="1"/>
  <c r="CH47" i="30" s="1"/>
  <c r="CE51" i="30"/>
  <c r="CF51" i="30" s="1"/>
  <c r="CG51" i="30" s="1"/>
  <c r="CH51" i="30" s="1"/>
  <c r="CE56" i="30"/>
  <c r="CF56" i="30" s="1"/>
  <c r="CG56" i="30" s="1"/>
  <c r="CH56" i="30" s="1"/>
  <c r="CE59" i="30"/>
  <c r="CF59" i="30" s="1"/>
  <c r="CG59" i="30" s="1"/>
  <c r="CH59" i="30" s="1"/>
  <c r="CF16" i="30"/>
  <c r="CG16" i="30" s="1"/>
  <c r="CH16" i="30" s="1"/>
  <c r="CF17" i="30"/>
  <c r="CG17" i="30" s="1"/>
  <c r="CH17" i="30" s="1"/>
  <c r="CF25" i="30"/>
  <c r="CG25" i="30" s="1"/>
  <c r="CH25" i="30" s="1"/>
  <c r="CF33" i="30"/>
  <c r="CG33" i="30" s="1"/>
  <c r="CH33" i="30" s="1"/>
  <c r="CF41" i="30"/>
  <c r="CG41" i="30" s="1"/>
  <c r="CH41" i="30" s="1"/>
  <c r="CF49" i="30"/>
  <c r="CG49" i="30" s="1"/>
  <c r="CH49" i="30" s="1"/>
  <c r="CF57" i="30"/>
  <c r="CG57" i="30" s="1"/>
  <c r="CH57" i="30" s="1"/>
  <c r="CG26" i="30"/>
  <c r="CH26" i="30" s="1"/>
  <c r="CH18" i="30"/>
  <c r="CH43" i="30"/>
  <c r="CI13" i="30"/>
  <c r="CI14" i="30"/>
  <c r="CI15" i="30"/>
  <c r="CL15" i="30" s="1"/>
  <c r="CI16" i="30"/>
  <c r="CI17" i="30"/>
  <c r="CI18" i="30"/>
  <c r="CI19" i="30"/>
  <c r="CI20" i="30"/>
  <c r="CI21" i="30"/>
  <c r="CI22" i="30"/>
  <c r="CI23" i="30"/>
  <c r="CL23" i="30" s="1"/>
  <c r="CO23" i="30" s="1"/>
  <c r="CI24" i="30"/>
  <c r="CI25" i="30"/>
  <c r="CI26" i="30"/>
  <c r="CI27" i="30"/>
  <c r="CI28" i="30"/>
  <c r="CI29" i="30"/>
  <c r="CI30" i="30"/>
  <c r="CI31" i="30"/>
  <c r="CL31" i="30" s="1"/>
  <c r="CI32" i="30"/>
  <c r="CI33" i="30"/>
  <c r="CI34" i="30"/>
  <c r="CI35" i="30"/>
  <c r="CI36" i="30"/>
  <c r="CI37" i="30"/>
  <c r="CI38" i="30"/>
  <c r="CI39" i="30"/>
  <c r="CL39" i="30" s="1"/>
  <c r="CO39" i="30" s="1"/>
  <c r="CP39" i="30" s="1"/>
  <c r="DA39" i="30" s="1"/>
  <c r="CI40" i="30"/>
  <c r="CI41" i="30"/>
  <c r="CI42" i="30"/>
  <c r="CI43" i="30"/>
  <c r="CI44" i="30"/>
  <c r="CI45" i="30"/>
  <c r="CI46" i="30"/>
  <c r="CI47" i="30"/>
  <c r="CL47" i="30" s="1"/>
  <c r="CI48" i="30"/>
  <c r="CI49" i="30"/>
  <c r="CI50" i="30"/>
  <c r="CI51" i="30"/>
  <c r="CI52" i="30"/>
  <c r="CI53" i="30"/>
  <c r="CI54" i="30"/>
  <c r="CI55" i="30"/>
  <c r="CL55" i="30" s="1"/>
  <c r="CI56" i="30"/>
  <c r="CI57" i="30"/>
  <c r="CI58" i="30"/>
  <c r="CI59" i="30"/>
  <c r="CJ13" i="30"/>
  <c r="CJ14" i="30"/>
  <c r="CJ15" i="30"/>
  <c r="CJ16" i="30"/>
  <c r="CL16" i="30" s="1"/>
  <c r="CO16" i="30" s="1"/>
  <c r="DF16" i="30" s="1"/>
  <c r="CJ17" i="30"/>
  <c r="CJ18" i="30"/>
  <c r="CJ19" i="30"/>
  <c r="CJ20" i="30"/>
  <c r="CJ21" i="30"/>
  <c r="CJ22" i="30"/>
  <c r="CJ23" i="30"/>
  <c r="CJ24" i="30"/>
  <c r="CL24" i="30" s="1"/>
  <c r="CJ25" i="30"/>
  <c r="CJ26" i="30"/>
  <c r="CJ27" i="30"/>
  <c r="CJ28" i="30"/>
  <c r="CJ29" i="30"/>
  <c r="CJ30" i="30"/>
  <c r="CJ31" i="30"/>
  <c r="CJ32" i="30"/>
  <c r="CL32" i="30" s="1"/>
  <c r="CM32" i="30" s="1"/>
  <c r="CJ33" i="30"/>
  <c r="CJ34" i="30"/>
  <c r="CJ35" i="30"/>
  <c r="CJ36" i="30"/>
  <c r="CJ37" i="30"/>
  <c r="CJ38" i="30"/>
  <c r="CJ39" i="30"/>
  <c r="CJ40" i="30"/>
  <c r="CL40" i="30" s="1"/>
  <c r="CJ41" i="30"/>
  <c r="CJ42" i="30"/>
  <c r="CJ43" i="30"/>
  <c r="CJ44" i="30"/>
  <c r="CJ45" i="30"/>
  <c r="CJ46" i="30"/>
  <c r="CJ47" i="30"/>
  <c r="CJ48" i="30"/>
  <c r="CL48" i="30" s="1"/>
  <c r="CO48" i="30" s="1"/>
  <c r="CJ49" i="30"/>
  <c r="CJ50" i="30"/>
  <c r="CJ51" i="30"/>
  <c r="CJ52" i="30"/>
  <c r="CJ53" i="30"/>
  <c r="CJ54" i="30"/>
  <c r="CJ55" i="30"/>
  <c r="CJ56" i="30"/>
  <c r="CL56" i="30" s="1"/>
  <c r="CM56" i="30" s="1"/>
  <c r="CJ57" i="30"/>
  <c r="CJ58" i="30"/>
  <c r="CJ59" i="30"/>
  <c r="CK13" i="30"/>
  <c r="CK14" i="30"/>
  <c r="CK15" i="30"/>
  <c r="CK16" i="30"/>
  <c r="CK17" i="30"/>
  <c r="CO17" i="30" s="1"/>
  <c r="DF17" i="30" s="1"/>
  <c r="CK18" i="30"/>
  <c r="CK19" i="30"/>
  <c r="CK20" i="30"/>
  <c r="CK21" i="30"/>
  <c r="CK22" i="30"/>
  <c r="CK23" i="30"/>
  <c r="CK24" i="30"/>
  <c r="CK25" i="30"/>
  <c r="CO25" i="30" s="1"/>
  <c r="DB25" i="30" s="1"/>
  <c r="CK26" i="30"/>
  <c r="CK27" i="30"/>
  <c r="CK28" i="30"/>
  <c r="CK29" i="30"/>
  <c r="CK30" i="30"/>
  <c r="CK31" i="30"/>
  <c r="CK32" i="30"/>
  <c r="CK33" i="30"/>
  <c r="CK34" i="30"/>
  <c r="CK35" i="30"/>
  <c r="CK36" i="30"/>
  <c r="CK37" i="30"/>
  <c r="CK38" i="30"/>
  <c r="CK39" i="30"/>
  <c r="CK40" i="30"/>
  <c r="CK41" i="30"/>
  <c r="CK42" i="30"/>
  <c r="CK43" i="30"/>
  <c r="CK44" i="30"/>
  <c r="CK45" i="30"/>
  <c r="CK46" i="30"/>
  <c r="CK47" i="30"/>
  <c r="CK48" i="30"/>
  <c r="CK49" i="30"/>
  <c r="CK50" i="30"/>
  <c r="CK51" i="30"/>
  <c r="CK52" i="30"/>
  <c r="CK53" i="30"/>
  <c r="CK54" i="30"/>
  <c r="CK55" i="30"/>
  <c r="CK56" i="30"/>
  <c r="CK57" i="30"/>
  <c r="CK58" i="30"/>
  <c r="CK59" i="30"/>
  <c r="CL18" i="30"/>
  <c r="CM18" i="30" s="1"/>
  <c r="CL22" i="30"/>
  <c r="CL26" i="30"/>
  <c r="CM26" i="30" s="1"/>
  <c r="CL34" i="30"/>
  <c r="CM34" i="30" s="1"/>
  <c r="CL38" i="30"/>
  <c r="CL42" i="30"/>
  <c r="CM42" i="30" s="1"/>
  <c r="CL50" i="30"/>
  <c r="CL58" i="30"/>
  <c r="CM58" i="30" s="1"/>
  <c r="CM27" i="30"/>
  <c r="CO33" i="30"/>
  <c r="CO57" i="30"/>
  <c r="CO58" i="30"/>
  <c r="CR13" i="30"/>
  <c r="CR14" i="30"/>
  <c r="CR15" i="30"/>
  <c r="CR16" i="30"/>
  <c r="CR17" i="30"/>
  <c r="CR18" i="30"/>
  <c r="CV18" i="30" s="1"/>
  <c r="CR19" i="30"/>
  <c r="CR20" i="30"/>
  <c r="CR21" i="30"/>
  <c r="CR22" i="30"/>
  <c r="CR23" i="30"/>
  <c r="CR24" i="30"/>
  <c r="CR25" i="30"/>
  <c r="CR26" i="30"/>
  <c r="CR27" i="30"/>
  <c r="CR28" i="30"/>
  <c r="CR29" i="30"/>
  <c r="CR30" i="30"/>
  <c r="CR31" i="30"/>
  <c r="CR32" i="30"/>
  <c r="CR33" i="30"/>
  <c r="CR34" i="30"/>
  <c r="CR35" i="30"/>
  <c r="CR36" i="30"/>
  <c r="CR37" i="30"/>
  <c r="CR38" i="30"/>
  <c r="CR39" i="30"/>
  <c r="CR40" i="30"/>
  <c r="CR41" i="30"/>
  <c r="CR42" i="30"/>
  <c r="CR43" i="30"/>
  <c r="CR44" i="30"/>
  <c r="CR45" i="30"/>
  <c r="CR46" i="30"/>
  <c r="CR47" i="30"/>
  <c r="CR48" i="30"/>
  <c r="CR49" i="30"/>
  <c r="CR50" i="30"/>
  <c r="CR51" i="30"/>
  <c r="CR52" i="30"/>
  <c r="CR53" i="30"/>
  <c r="CR54" i="30"/>
  <c r="CR55" i="30"/>
  <c r="CR56" i="30"/>
  <c r="CR57" i="30"/>
  <c r="CR58" i="30"/>
  <c r="CV58" i="30" s="1"/>
  <c r="CR59" i="30"/>
  <c r="CS13" i="30"/>
  <c r="CU13" i="30" s="1"/>
  <c r="CS14" i="30"/>
  <c r="CU14" i="30" s="1"/>
  <c r="CS15" i="30"/>
  <c r="CU15" i="30" s="1"/>
  <c r="CS16" i="30"/>
  <c r="CU16" i="30" s="1"/>
  <c r="CS17" i="30"/>
  <c r="CU17" i="30" s="1"/>
  <c r="CS18" i="30"/>
  <c r="CU18" i="30" s="1"/>
  <c r="CS19" i="30"/>
  <c r="CU19" i="30" s="1"/>
  <c r="CS20" i="30"/>
  <c r="CU20" i="30" s="1"/>
  <c r="CS21" i="30"/>
  <c r="CU21" i="30" s="1"/>
  <c r="CS22" i="30"/>
  <c r="CU22" i="30" s="1"/>
  <c r="CS23" i="30"/>
  <c r="CS24" i="30"/>
  <c r="CU24" i="30" s="1"/>
  <c r="CS25" i="30"/>
  <c r="CU25" i="30" s="1"/>
  <c r="CS26" i="30"/>
  <c r="CU26" i="30" s="1"/>
  <c r="CS27" i="30"/>
  <c r="CU27" i="30" s="1"/>
  <c r="CS28" i="30"/>
  <c r="CU28" i="30" s="1"/>
  <c r="CS29" i="30"/>
  <c r="CU29" i="30" s="1"/>
  <c r="CS30" i="30"/>
  <c r="CU30" i="30" s="1"/>
  <c r="CS31" i="30"/>
  <c r="CU31" i="30" s="1"/>
  <c r="CS32" i="30"/>
  <c r="CU32" i="30" s="1"/>
  <c r="CS33" i="30"/>
  <c r="CU33" i="30" s="1"/>
  <c r="CS34" i="30"/>
  <c r="CU34" i="30" s="1"/>
  <c r="CS35" i="30"/>
  <c r="CU35" i="30" s="1"/>
  <c r="CS36" i="30"/>
  <c r="CU36" i="30" s="1"/>
  <c r="CS37" i="30"/>
  <c r="CU37" i="30" s="1"/>
  <c r="CS38" i="30"/>
  <c r="CU38" i="30" s="1"/>
  <c r="CS39" i="30"/>
  <c r="CS40" i="30"/>
  <c r="CU40" i="30" s="1"/>
  <c r="CS41" i="30"/>
  <c r="CU41" i="30" s="1"/>
  <c r="CS42" i="30"/>
  <c r="CU42" i="30" s="1"/>
  <c r="CS43" i="30"/>
  <c r="CU43" i="30" s="1"/>
  <c r="CS44" i="30"/>
  <c r="CU44" i="30" s="1"/>
  <c r="CS45" i="30"/>
  <c r="CU45" i="30" s="1"/>
  <c r="CS46" i="30"/>
  <c r="CU46" i="30" s="1"/>
  <c r="CS47" i="30"/>
  <c r="CU47" i="30" s="1"/>
  <c r="CS48" i="30"/>
  <c r="CU48" i="30" s="1"/>
  <c r="CS49" i="30"/>
  <c r="CU49" i="30" s="1"/>
  <c r="CS50" i="30"/>
  <c r="CU50" i="30" s="1"/>
  <c r="CS51" i="30"/>
  <c r="CU51" i="30" s="1"/>
  <c r="CS52" i="30"/>
  <c r="CU52" i="30" s="1"/>
  <c r="CS53" i="30"/>
  <c r="CU53" i="30" s="1"/>
  <c r="CS54" i="30"/>
  <c r="CU54" i="30" s="1"/>
  <c r="CS55" i="30"/>
  <c r="CS56" i="30"/>
  <c r="CU56" i="30" s="1"/>
  <c r="CS57" i="30"/>
  <c r="CU57" i="30" s="1"/>
  <c r="CS58" i="30"/>
  <c r="CS59" i="30"/>
  <c r="CU59" i="30" s="1"/>
  <c r="CT14" i="30"/>
  <c r="CT15" i="30"/>
  <c r="CW15" i="30" s="1"/>
  <c r="CT16" i="30"/>
  <c r="CW16" i="30" s="1"/>
  <c r="CT18" i="30"/>
  <c r="CT22" i="30"/>
  <c r="CT23" i="30"/>
  <c r="CT24" i="30"/>
  <c r="CW24" i="30" s="1"/>
  <c r="CT26" i="30"/>
  <c r="CW26" i="30" s="1"/>
  <c r="CX26" i="30" s="1"/>
  <c r="CY26" i="30" s="1"/>
  <c r="CZ26" i="30" s="1"/>
  <c r="CT27" i="30"/>
  <c r="CW27" i="30" s="1"/>
  <c r="CT30" i="30"/>
  <c r="CT31" i="30"/>
  <c r="CT32" i="30"/>
  <c r="CT34" i="30"/>
  <c r="CW34" i="30" s="1"/>
  <c r="CT36" i="30"/>
  <c r="CT38" i="30"/>
  <c r="CT39" i="30"/>
  <c r="CW39" i="30" s="1"/>
  <c r="CX39" i="30" s="1"/>
  <c r="CY39" i="30" s="1"/>
  <c r="CT40" i="30"/>
  <c r="CW40" i="30" s="1"/>
  <c r="CX40" i="30" s="1"/>
  <c r="CY40" i="30" s="1"/>
  <c r="CZ40" i="30" s="1"/>
  <c r="CT42" i="30"/>
  <c r="CT46" i="30"/>
  <c r="CT47" i="30"/>
  <c r="CW47" i="30" s="1"/>
  <c r="CX47" i="30" s="1"/>
  <c r="CY47" i="30" s="1"/>
  <c r="CZ47" i="30" s="1"/>
  <c r="CT48" i="30"/>
  <c r="CT50" i="30"/>
  <c r="CW50" i="30" s="1"/>
  <c r="CT54" i="30"/>
  <c r="CT55" i="30"/>
  <c r="CW55" i="30" s="1"/>
  <c r="CX55" i="30" s="1"/>
  <c r="CY55" i="30" s="1"/>
  <c r="CT56" i="30"/>
  <c r="CW56" i="30" s="1"/>
  <c r="CT58" i="30"/>
  <c r="CU23" i="30"/>
  <c r="CU39" i="30"/>
  <c r="CU55" i="30"/>
  <c r="CU58" i="30"/>
  <c r="CW31" i="30"/>
  <c r="CW48" i="30"/>
  <c r="DA19" i="30"/>
  <c r="DB39" i="30"/>
  <c r="DF33" i="30"/>
  <c r="DG19" i="30"/>
  <c r="DG39" i="30"/>
  <c r="DH13" i="30"/>
  <c r="DY13" i="30" s="1"/>
  <c r="EB13" i="30" s="1"/>
  <c r="EC13" i="30" s="1"/>
  <c r="ED13" i="30" s="1"/>
  <c r="DH14" i="30"/>
  <c r="DH15" i="30"/>
  <c r="DY15" i="30" s="1"/>
  <c r="DH16" i="30"/>
  <c r="DQ16" i="30" s="1"/>
  <c r="DH17" i="30"/>
  <c r="DQ17" i="30" s="1"/>
  <c r="DH18" i="30"/>
  <c r="DH19" i="30"/>
  <c r="DH20" i="30"/>
  <c r="DH21" i="30"/>
  <c r="DY21" i="30" s="1"/>
  <c r="EB21" i="30" s="1"/>
  <c r="EC21" i="30" s="1"/>
  <c r="ED21" i="30" s="1"/>
  <c r="DH22" i="30"/>
  <c r="DQ22" i="30" s="1"/>
  <c r="DH23" i="30"/>
  <c r="DY23" i="30" s="1"/>
  <c r="DH24" i="30"/>
  <c r="DQ24" i="30" s="1"/>
  <c r="DH25" i="30"/>
  <c r="DH26" i="30"/>
  <c r="DH27" i="30"/>
  <c r="DH28" i="30"/>
  <c r="DH29" i="30"/>
  <c r="DY29" i="30" s="1"/>
  <c r="EB29" i="30" s="1"/>
  <c r="EC29" i="30" s="1"/>
  <c r="ED29" i="30" s="1"/>
  <c r="DH30" i="30"/>
  <c r="DH31" i="30"/>
  <c r="DH32" i="30"/>
  <c r="DQ32" i="30" s="1"/>
  <c r="DH33" i="30"/>
  <c r="DH34" i="30"/>
  <c r="DH35" i="30"/>
  <c r="DH36" i="30"/>
  <c r="DH37" i="30"/>
  <c r="DQ37" i="30" s="1"/>
  <c r="DH38" i="30"/>
  <c r="DQ38" i="30" s="1"/>
  <c r="DH39" i="30"/>
  <c r="DQ39" i="30" s="1"/>
  <c r="DT39" i="30" s="1"/>
  <c r="DU39" i="30" s="1"/>
  <c r="DH40" i="30"/>
  <c r="DQ40" i="30" s="1"/>
  <c r="DT40" i="30" s="1"/>
  <c r="EK40" i="30" s="1"/>
  <c r="DH41" i="30"/>
  <c r="DH42" i="30"/>
  <c r="DH43" i="30"/>
  <c r="DH44" i="30"/>
  <c r="DH45" i="30"/>
  <c r="DY45" i="30" s="1"/>
  <c r="DH46" i="30"/>
  <c r="DH47" i="30"/>
  <c r="DY47" i="30" s="1"/>
  <c r="DH48" i="30"/>
  <c r="DQ48" i="30" s="1"/>
  <c r="DH49" i="30"/>
  <c r="DH50" i="30"/>
  <c r="DH51" i="30"/>
  <c r="DH52" i="30"/>
  <c r="DH53" i="30"/>
  <c r="DY53" i="30" s="1"/>
  <c r="EB53" i="30" s="1"/>
  <c r="EC53" i="30" s="1"/>
  <c r="ED53" i="30" s="1"/>
  <c r="DH54" i="30"/>
  <c r="DQ54" i="30" s="1"/>
  <c r="DH55" i="30"/>
  <c r="DQ55" i="30" s="1"/>
  <c r="DT55" i="30" s="1"/>
  <c r="EG55" i="30" s="1"/>
  <c r="DH56" i="30"/>
  <c r="DQ56" i="30" s="1"/>
  <c r="DR56" i="30" s="1"/>
  <c r="DH57" i="30"/>
  <c r="DH58" i="30"/>
  <c r="DH59" i="30"/>
  <c r="DI13" i="30"/>
  <c r="DJ13" i="30" s="1"/>
  <c r="DK13" i="30" s="1"/>
  <c r="DL13" i="30" s="1"/>
  <c r="DM13" i="30" s="1"/>
  <c r="DI14" i="30"/>
  <c r="DJ14" i="30" s="1"/>
  <c r="DK14" i="30" s="1"/>
  <c r="DL14" i="30" s="1"/>
  <c r="DM14" i="30" s="1"/>
  <c r="DI15" i="30"/>
  <c r="DI16" i="30"/>
  <c r="DJ16" i="30" s="1"/>
  <c r="DK16" i="30" s="1"/>
  <c r="DL16" i="30" s="1"/>
  <c r="DM16" i="30" s="1"/>
  <c r="DI17" i="30"/>
  <c r="DJ17" i="30" s="1"/>
  <c r="DK17" i="30" s="1"/>
  <c r="DL17" i="30" s="1"/>
  <c r="DM17" i="30" s="1"/>
  <c r="DI18" i="30"/>
  <c r="DI19" i="30"/>
  <c r="DJ19" i="30" s="1"/>
  <c r="DK19" i="30" s="1"/>
  <c r="DL19" i="30" s="1"/>
  <c r="DM19" i="30" s="1"/>
  <c r="DI20" i="30"/>
  <c r="DJ20" i="30" s="1"/>
  <c r="DK20" i="30" s="1"/>
  <c r="DL20" i="30" s="1"/>
  <c r="DM20" i="30" s="1"/>
  <c r="DI21" i="30"/>
  <c r="DJ21" i="30" s="1"/>
  <c r="DK21" i="30" s="1"/>
  <c r="DL21" i="30" s="1"/>
  <c r="DM21" i="30" s="1"/>
  <c r="DI22" i="30"/>
  <c r="DI23" i="30"/>
  <c r="DI24" i="30"/>
  <c r="DJ24" i="30" s="1"/>
  <c r="DK24" i="30" s="1"/>
  <c r="DL24" i="30" s="1"/>
  <c r="DM24" i="30" s="1"/>
  <c r="DI25" i="30"/>
  <c r="DJ25" i="30" s="1"/>
  <c r="DK25" i="30" s="1"/>
  <c r="DL25" i="30" s="1"/>
  <c r="DM25" i="30" s="1"/>
  <c r="DI26" i="30"/>
  <c r="DJ26" i="30" s="1"/>
  <c r="DK26" i="30" s="1"/>
  <c r="DL26" i="30" s="1"/>
  <c r="DM26" i="30" s="1"/>
  <c r="DI27" i="30"/>
  <c r="DJ27" i="30" s="1"/>
  <c r="DK27" i="30" s="1"/>
  <c r="DL27" i="30" s="1"/>
  <c r="DI28" i="30"/>
  <c r="DI29" i="30"/>
  <c r="DJ29" i="30" s="1"/>
  <c r="DK29" i="30" s="1"/>
  <c r="DL29" i="30" s="1"/>
  <c r="DM29" i="30" s="1"/>
  <c r="DI30" i="30"/>
  <c r="DJ30" i="30" s="1"/>
  <c r="DK30" i="30" s="1"/>
  <c r="DL30" i="30" s="1"/>
  <c r="DM30" i="30" s="1"/>
  <c r="DI31" i="30"/>
  <c r="DI32" i="30"/>
  <c r="DJ32" i="30" s="1"/>
  <c r="DK32" i="30" s="1"/>
  <c r="DL32" i="30" s="1"/>
  <c r="DM32" i="30" s="1"/>
  <c r="DI33" i="30"/>
  <c r="DJ33" i="30" s="1"/>
  <c r="DK33" i="30" s="1"/>
  <c r="DL33" i="30" s="1"/>
  <c r="DM33" i="30" s="1"/>
  <c r="DI34" i="30"/>
  <c r="DI35" i="30"/>
  <c r="DJ35" i="30" s="1"/>
  <c r="DK35" i="30" s="1"/>
  <c r="DL35" i="30" s="1"/>
  <c r="DM35" i="30" s="1"/>
  <c r="DI36" i="30"/>
  <c r="DI37" i="30"/>
  <c r="DJ37" i="30" s="1"/>
  <c r="DK37" i="30" s="1"/>
  <c r="DL37" i="30" s="1"/>
  <c r="DM37" i="30" s="1"/>
  <c r="DI38" i="30"/>
  <c r="DJ38" i="30" s="1"/>
  <c r="DK38" i="30" s="1"/>
  <c r="DL38" i="30" s="1"/>
  <c r="DM38" i="30" s="1"/>
  <c r="DI39" i="30"/>
  <c r="DJ39" i="30" s="1"/>
  <c r="DK39" i="30" s="1"/>
  <c r="DL39" i="30" s="1"/>
  <c r="DM39" i="30" s="1"/>
  <c r="DI40" i="30"/>
  <c r="DJ40" i="30" s="1"/>
  <c r="DK40" i="30" s="1"/>
  <c r="DL40" i="30" s="1"/>
  <c r="DM40" i="30" s="1"/>
  <c r="DI41" i="30"/>
  <c r="DJ41" i="30" s="1"/>
  <c r="DK41" i="30" s="1"/>
  <c r="DL41" i="30" s="1"/>
  <c r="DM41" i="30" s="1"/>
  <c r="DI42" i="30"/>
  <c r="DI43" i="30"/>
  <c r="DJ43" i="30" s="1"/>
  <c r="DK43" i="30" s="1"/>
  <c r="DL43" i="30" s="1"/>
  <c r="DM43" i="30" s="1"/>
  <c r="DI44" i="30"/>
  <c r="DI45" i="30"/>
  <c r="DJ45" i="30" s="1"/>
  <c r="DK45" i="30" s="1"/>
  <c r="DL45" i="30" s="1"/>
  <c r="DM45" i="30" s="1"/>
  <c r="DI46" i="30"/>
  <c r="DJ46" i="30" s="1"/>
  <c r="DK46" i="30" s="1"/>
  <c r="DL46" i="30" s="1"/>
  <c r="DM46" i="30" s="1"/>
  <c r="DI47" i="30"/>
  <c r="DJ47" i="30" s="1"/>
  <c r="DK47" i="30" s="1"/>
  <c r="DL47" i="30" s="1"/>
  <c r="DM47" i="30" s="1"/>
  <c r="DI48" i="30"/>
  <c r="DJ48" i="30" s="1"/>
  <c r="DK48" i="30" s="1"/>
  <c r="DL48" i="30" s="1"/>
  <c r="DM48" i="30" s="1"/>
  <c r="DI49" i="30"/>
  <c r="DJ49" i="30" s="1"/>
  <c r="DK49" i="30" s="1"/>
  <c r="DL49" i="30" s="1"/>
  <c r="DM49" i="30" s="1"/>
  <c r="DI50" i="30"/>
  <c r="DI51" i="30"/>
  <c r="DJ51" i="30" s="1"/>
  <c r="DK51" i="30" s="1"/>
  <c r="DL51" i="30" s="1"/>
  <c r="DM51" i="30" s="1"/>
  <c r="DI52" i="30"/>
  <c r="DI53" i="30"/>
  <c r="DJ53" i="30" s="1"/>
  <c r="DK53" i="30" s="1"/>
  <c r="DL53" i="30" s="1"/>
  <c r="DM53" i="30" s="1"/>
  <c r="DI54" i="30"/>
  <c r="DJ54" i="30" s="1"/>
  <c r="DK54" i="30" s="1"/>
  <c r="DL54" i="30" s="1"/>
  <c r="DM54" i="30" s="1"/>
  <c r="DI55" i="30"/>
  <c r="DJ55" i="30" s="1"/>
  <c r="DK55" i="30" s="1"/>
  <c r="DL55" i="30" s="1"/>
  <c r="DM55" i="30" s="1"/>
  <c r="DI56" i="30"/>
  <c r="DJ56" i="30" s="1"/>
  <c r="DK56" i="30" s="1"/>
  <c r="DL56" i="30" s="1"/>
  <c r="DM56" i="30" s="1"/>
  <c r="DI57" i="30"/>
  <c r="DJ57" i="30" s="1"/>
  <c r="DK57" i="30" s="1"/>
  <c r="DL57" i="30" s="1"/>
  <c r="DM57" i="30" s="1"/>
  <c r="DI58" i="30"/>
  <c r="DJ58" i="30" s="1"/>
  <c r="DK58" i="30" s="1"/>
  <c r="DL58" i="30" s="1"/>
  <c r="DM58" i="30" s="1"/>
  <c r="DI59" i="30"/>
  <c r="DJ59" i="30" s="1"/>
  <c r="DK59" i="30" s="1"/>
  <c r="DL59" i="30" s="1"/>
  <c r="DM59" i="30" s="1"/>
  <c r="DJ15" i="30"/>
  <c r="DK15" i="30" s="1"/>
  <c r="DL15" i="30" s="1"/>
  <c r="DM15" i="30" s="1"/>
  <c r="DJ18" i="30"/>
  <c r="DK18" i="30" s="1"/>
  <c r="DL18" i="30" s="1"/>
  <c r="DM18" i="30" s="1"/>
  <c r="DJ22" i="30"/>
  <c r="DK22" i="30" s="1"/>
  <c r="DL22" i="30" s="1"/>
  <c r="DM22" i="30" s="1"/>
  <c r="DJ23" i="30"/>
  <c r="DK23" i="30" s="1"/>
  <c r="DL23" i="30" s="1"/>
  <c r="DM23" i="30" s="1"/>
  <c r="DJ28" i="30"/>
  <c r="DK28" i="30" s="1"/>
  <c r="DL28" i="30" s="1"/>
  <c r="DM28" i="30" s="1"/>
  <c r="DJ31" i="30"/>
  <c r="DK31" i="30" s="1"/>
  <c r="DL31" i="30" s="1"/>
  <c r="DM31" i="30" s="1"/>
  <c r="DJ34" i="30"/>
  <c r="DK34" i="30" s="1"/>
  <c r="DL34" i="30" s="1"/>
  <c r="DM34" i="30" s="1"/>
  <c r="DJ36" i="30"/>
  <c r="DK36" i="30" s="1"/>
  <c r="DL36" i="30" s="1"/>
  <c r="DM36" i="30" s="1"/>
  <c r="DJ42" i="30"/>
  <c r="DK42" i="30" s="1"/>
  <c r="DL42" i="30" s="1"/>
  <c r="DM42" i="30" s="1"/>
  <c r="DJ44" i="30"/>
  <c r="DK44" i="30" s="1"/>
  <c r="DL44" i="30" s="1"/>
  <c r="DM44" i="30" s="1"/>
  <c r="DJ50" i="30"/>
  <c r="DK50" i="30" s="1"/>
  <c r="DL50" i="30" s="1"/>
  <c r="DM50" i="30" s="1"/>
  <c r="DJ52" i="30"/>
  <c r="DK52" i="30" s="1"/>
  <c r="DL52" i="30" s="1"/>
  <c r="DM52" i="30" s="1"/>
  <c r="DM27" i="30"/>
  <c r="DN13" i="30"/>
  <c r="DN14" i="30"/>
  <c r="DN15" i="30"/>
  <c r="DN16" i="30"/>
  <c r="DN17" i="30"/>
  <c r="DN18" i="30"/>
  <c r="DN19" i="30"/>
  <c r="DN20" i="30"/>
  <c r="DN21" i="30"/>
  <c r="DN22" i="30"/>
  <c r="DN23" i="30"/>
  <c r="DN24" i="30"/>
  <c r="DN25" i="30"/>
  <c r="DN26" i="30"/>
  <c r="DN27" i="30"/>
  <c r="DN28" i="30"/>
  <c r="DN29" i="30"/>
  <c r="DN30" i="30"/>
  <c r="DN31" i="30"/>
  <c r="DN32" i="30"/>
  <c r="DN33" i="30"/>
  <c r="DN34" i="30"/>
  <c r="DN35" i="30"/>
  <c r="DN36" i="30"/>
  <c r="DN37" i="30"/>
  <c r="DN38" i="30"/>
  <c r="DN39" i="30"/>
  <c r="DN40" i="30"/>
  <c r="DN41" i="30"/>
  <c r="DN42" i="30"/>
  <c r="DN43" i="30"/>
  <c r="DN44" i="30"/>
  <c r="DN45" i="30"/>
  <c r="DN46" i="30"/>
  <c r="DQ46" i="30" s="1"/>
  <c r="DN47" i="30"/>
  <c r="DN48" i="30"/>
  <c r="DN49" i="30"/>
  <c r="DN50" i="30"/>
  <c r="DN51" i="30"/>
  <c r="DN52" i="30"/>
  <c r="DN53" i="30"/>
  <c r="DN54" i="30"/>
  <c r="DN55" i="30"/>
  <c r="DN56" i="30"/>
  <c r="DN57" i="30"/>
  <c r="DN58" i="30"/>
  <c r="DN59" i="30"/>
  <c r="DO13" i="30"/>
  <c r="DO14" i="30"/>
  <c r="DO15" i="30"/>
  <c r="DO16" i="30"/>
  <c r="DO17" i="30"/>
  <c r="DO18" i="30"/>
  <c r="DO19" i="30"/>
  <c r="DQ19" i="30" s="1"/>
  <c r="DO20" i="30"/>
  <c r="DO21" i="30"/>
  <c r="DO22" i="30"/>
  <c r="DO23" i="30"/>
  <c r="DO24" i="30"/>
  <c r="DO25" i="30"/>
  <c r="DO26" i="30"/>
  <c r="DO27" i="30"/>
  <c r="DQ27" i="30" s="1"/>
  <c r="DO28" i="30"/>
  <c r="DO29" i="30"/>
  <c r="DO30" i="30"/>
  <c r="DO31" i="30"/>
  <c r="DO32" i="30"/>
  <c r="DO33" i="30"/>
  <c r="DO34" i="30"/>
  <c r="DO35" i="30"/>
  <c r="DQ35" i="30" s="1"/>
  <c r="DO36" i="30"/>
  <c r="DO37" i="30"/>
  <c r="DO38" i="30"/>
  <c r="DO39" i="30"/>
  <c r="DO40" i="30"/>
  <c r="DO41" i="30"/>
  <c r="DO42" i="30"/>
  <c r="DO43" i="30"/>
  <c r="DQ43" i="30" s="1"/>
  <c r="DO44" i="30"/>
  <c r="DO45" i="30"/>
  <c r="DO46" i="30"/>
  <c r="DO47" i="30"/>
  <c r="DO48" i="30"/>
  <c r="DO49" i="30"/>
  <c r="DO50" i="30"/>
  <c r="DO51" i="30"/>
  <c r="DQ51" i="30" s="1"/>
  <c r="DO52" i="30"/>
  <c r="DO53" i="30"/>
  <c r="DO54" i="30"/>
  <c r="DO55" i="30"/>
  <c r="DO56" i="30"/>
  <c r="DO57" i="30"/>
  <c r="DO58" i="30"/>
  <c r="DO59" i="30"/>
  <c r="DP13" i="30"/>
  <c r="DP14" i="30"/>
  <c r="DP15" i="30"/>
  <c r="DP16" i="30"/>
  <c r="DP17" i="30"/>
  <c r="DP18" i="30"/>
  <c r="DP19" i="30"/>
  <c r="DP20" i="30"/>
  <c r="DP21" i="30"/>
  <c r="DP22" i="30"/>
  <c r="DP23" i="30"/>
  <c r="DP24" i="30"/>
  <c r="DP25" i="30"/>
  <c r="DP26" i="30"/>
  <c r="DP27" i="30"/>
  <c r="DP28" i="30"/>
  <c r="DP29" i="30"/>
  <c r="DP30" i="30"/>
  <c r="DP31" i="30"/>
  <c r="DP32" i="30"/>
  <c r="DP33" i="30"/>
  <c r="DP34" i="30"/>
  <c r="DP35" i="30"/>
  <c r="DP36" i="30"/>
  <c r="DP37" i="30"/>
  <c r="DP38" i="30"/>
  <c r="DP39" i="30"/>
  <c r="DP40" i="30"/>
  <c r="DP41" i="30"/>
  <c r="DP42" i="30"/>
  <c r="DP43" i="30"/>
  <c r="DP44" i="30"/>
  <c r="DP45" i="30"/>
  <c r="DP46" i="30"/>
  <c r="DP47" i="30"/>
  <c r="DP48" i="30"/>
  <c r="DP49" i="30"/>
  <c r="DP50" i="30"/>
  <c r="DP51" i="30"/>
  <c r="DP52" i="30"/>
  <c r="DP53" i="30"/>
  <c r="DP54" i="30"/>
  <c r="DP55" i="30"/>
  <c r="DP56" i="30"/>
  <c r="DP57" i="30"/>
  <c r="DP58" i="30"/>
  <c r="DP59" i="30"/>
  <c r="DQ14" i="30"/>
  <c r="DT14" i="30" s="1"/>
  <c r="DU14" i="30" s="1"/>
  <c r="DQ25" i="30"/>
  <c r="DR25" i="30" s="1"/>
  <c r="DQ29" i="30"/>
  <c r="DQ30" i="30"/>
  <c r="DT30" i="30" s="1"/>
  <c r="DU30" i="30" s="1"/>
  <c r="DS30" i="30" s="1"/>
  <c r="DQ33" i="30"/>
  <c r="DR33" i="30" s="1"/>
  <c r="DQ41" i="30"/>
  <c r="DR41" i="30" s="1"/>
  <c r="DQ49" i="30"/>
  <c r="DR49" i="30" s="1"/>
  <c r="DQ57" i="30"/>
  <c r="DR57" i="30" s="1"/>
  <c r="DQ59" i="30"/>
  <c r="DT33" i="30"/>
  <c r="DU33" i="30" s="1"/>
  <c r="DT56" i="30"/>
  <c r="EK56" i="30" s="1"/>
  <c r="DW13" i="30"/>
  <c r="DW14" i="30"/>
  <c r="DW15" i="30"/>
  <c r="DW16" i="30"/>
  <c r="DW17" i="30"/>
  <c r="DW18" i="30"/>
  <c r="DW19" i="30"/>
  <c r="DW20" i="30"/>
  <c r="DW21" i="30"/>
  <c r="DW22" i="30"/>
  <c r="DW23" i="30"/>
  <c r="DW24" i="30"/>
  <c r="DW25" i="30"/>
  <c r="DW26" i="30"/>
  <c r="DW27" i="30"/>
  <c r="DW28" i="30"/>
  <c r="DW29" i="30"/>
  <c r="DW30" i="30"/>
  <c r="DW31" i="30"/>
  <c r="DW32" i="30"/>
  <c r="DW33" i="30"/>
  <c r="DW34" i="30"/>
  <c r="DW35" i="30"/>
  <c r="DW36" i="30"/>
  <c r="DW37" i="30"/>
  <c r="DW38" i="30"/>
  <c r="DW39" i="30"/>
  <c r="DW40" i="30"/>
  <c r="DW41" i="30"/>
  <c r="DW42" i="30"/>
  <c r="DW43" i="30"/>
  <c r="DW44" i="30"/>
  <c r="DW45" i="30"/>
  <c r="DW46" i="30"/>
  <c r="DW47" i="30"/>
  <c r="DW48" i="30"/>
  <c r="DW49" i="30"/>
  <c r="DW50" i="30"/>
  <c r="DW51" i="30"/>
  <c r="DW52" i="30"/>
  <c r="DW53" i="30"/>
  <c r="DW54" i="30"/>
  <c r="DW55" i="30"/>
  <c r="DW56" i="30"/>
  <c r="DW57" i="30"/>
  <c r="DW58" i="30"/>
  <c r="DW59" i="30"/>
  <c r="DX13" i="30"/>
  <c r="DZ13" i="30" s="1"/>
  <c r="DX14" i="30"/>
  <c r="DX15" i="30"/>
  <c r="DX16" i="30"/>
  <c r="DZ16" i="30" s="1"/>
  <c r="DX17" i="30"/>
  <c r="DZ17" i="30" s="1"/>
  <c r="DX18" i="30"/>
  <c r="DZ18" i="30" s="1"/>
  <c r="DX19" i="30"/>
  <c r="DX20" i="30"/>
  <c r="DZ20" i="30" s="1"/>
  <c r="DX21" i="30"/>
  <c r="DZ21" i="30" s="1"/>
  <c r="DX22" i="30"/>
  <c r="DZ22" i="30" s="1"/>
  <c r="DX23" i="30"/>
  <c r="DZ23" i="30" s="1"/>
  <c r="DX24" i="30"/>
  <c r="DZ24" i="30" s="1"/>
  <c r="DX25" i="30"/>
  <c r="DZ25" i="30" s="1"/>
  <c r="DX26" i="30"/>
  <c r="DZ26" i="30" s="1"/>
  <c r="DX27" i="30"/>
  <c r="DZ27" i="30" s="1"/>
  <c r="DX28" i="30"/>
  <c r="DZ28" i="30" s="1"/>
  <c r="DX29" i="30"/>
  <c r="DZ29" i="30" s="1"/>
  <c r="DX30" i="30"/>
  <c r="DZ30" i="30" s="1"/>
  <c r="DX31" i="30"/>
  <c r="DZ31" i="30" s="1"/>
  <c r="DX32" i="30"/>
  <c r="DZ32" i="30" s="1"/>
  <c r="DX33" i="30"/>
  <c r="DZ33" i="30" s="1"/>
  <c r="DX34" i="30"/>
  <c r="DZ34" i="30" s="1"/>
  <c r="DX35" i="30"/>
  <c r="DX36" i="30"/>
  <c r="DZ36" i="30" s="1"/>
  <c r="DX37" i="30"/>
  <c r="DZ37" i="30" s="1"/>
  <c r="DX38" i="30"/>
  <c r="DX39" i="30"/>
  <c r="DZ39" i="30" s="1"/>
  <c r="DX40" i="30"/>
  <c r="DZ40" i="30" s="1"/>
  <c r="DX41" i="30"/>
  <c r="DZ41" i="30" s="1"/>
  <c r="DX42" i="30"/>
  <c r="DZ42" i="30" s="1"/>
  <c r="DX43" i="30"/>
  <c r="DZ43" i="30" s="1"/>
  <c r="DX44" i="30"/>
  <c r="DZ44" i="30" s="1"/>
  <c r="DX45" i="30"/>
  <c r="DZ45" i="30" s="1"/>
  <c r="DX46" i="30"/>
  <c r="DX47" i="30"/>
  <c r="DZ47" i="30" s="1"/>
  <c r="DX48" i="30"/>
  <c r="DZ48" i="30" s="1"/>
  <c r="DV48" i="30" s="1"/>
  <c r="DX49" i="30"/>
  <c r="DZ49" i="30" s="1"/>
  <c r="DX50" i="30"/>
  <c r="DZ50" i="30" s="1"/>
  <c r="DX51" i="30"/>
  <c r="DX52" i="30"/>
  <c r="DX53" i="30"/>
  <c r="DZ53" i="30" s="1"/>
  <c r="DX54" i="30"/>
  <c r="DZ54" i="30" s="1"/>
  <c r="DX55" i="30"/>
  <c r="DZ55" i="30" s="1"/>
  <c r="DX56" i="30"/>
  <c r="DZ56" i="30" s="1"/>
  <c r="DX57" i="30"/>
  <c r="DZ57" i="30" s="1"/>
  <c r="DX58" i="30"/>
  <c r="DZ58" i="30" s="1"/>
  <c r="DX59" i="30"/>
  <c r="DY14" i="30"/>
  <c r="DY16" i="30"/>
  <c r="DY17" i="30"/>
  <c r="DY18" i="30"/>
  <c r="EB18" i="30" s="1"/>
  <c r="EC18" i="30" s="1"/>
  <c r="ED18" i="30" s="1"/>
  <c r="DY19" i="30"/>
  <c r="EB19" i="30" s="1"/>
  <c r="DY22" i="30"/>
  <c r="EB22" i="30" s="1"/>
  <c r="DY25" i="30"/>
  <c r="EB25" i="30" s="1"/>
  <c r="DY26" i="30"/>
  <c r="DY27" i="30"/>
  <c r="EB27" i="30" s="1"/>
  <c r="DY30" i="30"/>
  <c r="DV30" i="30" s="1"/>
  <c r="DY31" i="30"/>
  <c r="DY32" i="30"/>
  <c r="DY33" i="30"/>
  <c r="DY34" i="30"/>
  <c r="EB34" i="30" s="1"/>
  <c r="EC34" i="30" s="1"/>
  <c r="ED34" i="30" s="1"/>
  <c r="DY35" i="30"/>
  <c r="EB35" i="30" s="1"/>
  <c r="DY38" i="30"/>
  <c r="EB38" i="30" s="1"/>
  <c r="DY40" i="30"/>
  <c r="EB40" i="30" s="1"/>
  <c r="DY41" i="30"/>
  <c r="DY42" i="30"/>
  <c r="DY43" i="30"/>
  <c r="EB43" i="30" s="1"/>
  <c r="DY46" i="30"/>
  <c r="EB46" i="30" s="1"/>
  <c r="DY48" i="30"/>
  <c r="DY49" i="30"/>
  <c r="EB49" i="30" s="1"/>
  <c r="DY50" i="30"/>
  <c r="EB50" i="30" s="1"/>
  <c r="EC50" i="30" s="1"/>
  <c r="ED50" i="30" s="1"/>
  <c r="DY51" i="30"/>
  <c r="EB51" i="30" s="1"/>
  <c r="DY54" i="30"/>
  <c r="EB54" i="30" s="1"/>
  <c r="DY56" i="30"/>
  <c r="EB56" i="30" s="1"/>
  <c r="DY57" i="30"/>
  <c r="DY58" i="30"/>
  <c r="EB58" i="30" s="1"/>
  <c r="DY59" i="30"/>
  <c r="EB59" i="30" s="1"/>
  <c r="DZ14" i="30"/>
  <c r="DZ15" i="30"/>
  <c r="DZ19" i="30"/>
  <c r="DZ35" i="30"/>
  <c r="DZ38" i="30"/>
  <c r="DZ46" i="30"/>
  <c r="DZ51" i="30"/>
  <c r="DZ52" i="30"/>
  <c r="DZ59" i="30"/>
  <c r="EB16" i="30"/>
  <c r="EB26" i="30"/>
  <c r="EB32" i="30"/>
  <c r="EB42" i="30"/>
  <c r="EB48" i="30"/>
  <c r="EB57" i="30"/>
  <c r="EC27" i="30"/>
  <c r="ED27" i="30" s="1"/>
  <c r="EE27" i="30" s="1"/>
  <c r="EK33" i="30"/>
  <c r="S6" i="29"/>
  <c r="AB6" i="29" s="1"/>
  <c r="AE6" i="29" s="1"/>
  <c r="S7" i="29"/>
  <c r="S8" i="29"/>
  <c r="S9" i="29"/>
  <c r="AB9" i="29" s="1"/>
  <c r="S10" i="29"/>
  <c r="AJ10" i="29" s="1"/>
  <c r="S11" i="29"/>
  <c r="AB11" i="29" s="1"/>
  <c r="AE11" i="29" s="1"/>
  <c r="AF11" i="29" s="1"/>
  <c r="AD11" i="29" s="1"/>
  <c r="S12" i="29"/>
  <c r="S13" i="29"/>
  <c r="AB13" i="29" s="1"/>
  <c r="S14" i="29"/>
  <c r="AJ14" i="29" s="1"/>
  <c r="S15" i="29"/>
  <c r="S16" i="29"/>
  <c r="S17" i="29"/>
  <c r="AB17" i="29" s="1"/>
  <c r="S18" i="29"/>
  <c r="AB18" i="29" s="1"/>
  <c r="S19" i="29"/>
  <c r="AB19" i="29" s="1"/>
  <c r="AE19" i="29" s="1"/>
  <c r="AF19" i="29" s="1"/>
  <c r="AD19" i="29" s="1"/>
  <c r="S20" i="29"/>
  <c r="AB20" i="29" s="1"/>
  <c r="AE20" i="29" s="1"/>
  <c r="S21" i="29"/>
  <c r="AB21" i="29" s="1"/>
  <c r="S22" i="29"/>
  <c r="AB22" i="29" s="1"/>
  <c r="AE22" i="29" s="1"/>
  <c r="S23" i="29"/>
  <c r="S24" i="29"/>
  <c r="AJ24" i="29" s="1"/>
  <c r="AM24" i="29" s="1"/>
  <c r="S25" i="29"/>
  <c r="AB25" i="29" s="1"/>
  <c r="S26" i="29"/>
  <c r="AJ26" i="29" s="1"/>
  <c r="AM26" i="29" s="1"/>
  <c r="S27" i="29"/>
  <c r="AB27" i="29" s="1"/>
  <c r="AE27" i="29" s="1"/>
  <c r="AF27" i="29" s="1"/>
  <c r="AD27" i="29" s="1"/>
  <c r="S28" i="29"/>
  <c r="S29" i="29"/>
  <c r="AJ29" i="29" s="1"/>
  <c r="AM29" i="29" s="1"/>
  <c r="S30" i="29"/>
  <c r="AJ30" i="29" s="1"/>
  <c r="S31" i="29"/>
  <c r="AJ31" i="29" s="1"/>
  <c r="AM31" i="29" s="1"/>
  <c r="S32" i="29"/>
  <c r="AJ32" i="29" s="1"/>
  <c r="S33" i="29"/>
  <c r="AB33" i="29" s="1"/>
  <c r="S34" i="29"/>
  <c r="AB34" i="29" s="1"/>
  <c r="S35" i="29"/>
  <c r="AB35" i="29" s="1"/>
  <c r="AE35" i="29" s="1"/>
  <c r="AF35" i="29" s="1"/>
  <c r="AD35" i="29" s="1"/>
  <c r="S36" i="29"/>
  <c r="S37" i="29"/>
  <c r="S38" i="29"/>
  <c r="AJ38" i="29" s="1"/>
  <c r="S39" i="29"/>
  <c r="AJ39" i="29" s="1"/>
  <c r="AM39" i="29" s="1"/>
  <c r="S40" i="29"/>
  <c r="AJ40" i="29" s="1"/>
  <c r="S41" i="29"/>
  <c r="AB41" i="29" s="1"/>
  <c r="S42" i="29"/>
  <c r="AJ42" i="29" s="1"/>
  <c r="AM42" i="29" s="1"/>
  <c r="S43" i="29"/>
  <c r="AB43" i="29" s="1"/>
  <c r="AE43" i="29" s="1"/>
  <c r="AF43" i="29" s="1"/>
  <c r="AD43" i="29" s="1"/>
  <c r="S44" i="29"/>
  <c r="AB44" i="29" s="1"/>
  <c r="S45" i="29"/>
  <c r="AB45" i="29" s="1"/>
  <c r="S46" i="29"/>
  <c r="AJ46" i="29" s="1"/>
  <c r="S47" i="29"/>
  <c r="S48" i="29"/>
  <c r="S49" i="29"/>
  <c r="AB49" i="29" s="1"/>
  <c r="S50" i="29"/>
  <c r="AJ50" i="29" s="1"/>
  <c r="S51" i="29"/>
  <c r="AB51" i="29" s="1"/>
  <c r="AE51" i="29" s="1"/>
  <c r="AF51" i="29" s="1"/>
  <c r="AD51" i="29" s="1"/>
  <c r="S52" i="29"/>
  <c r="AB52" i="29" s="1"/>
  <c r="T6" i="29"/>
  <c r="U6" i="29" s="1"/>
  <c r="V6" i="29" s="1"/>
  <c r="W6" i="29" s="1"/>
  <c r="T7" i="29"/>
  <c r="U7" i="29" s="1"/>
  <c r="V7" i="29" s="1"/>
  <c r="W7" i="29" s="1"/>
  <c r="X7" i="29" s="1"/>
  <c r="T8" i="29"/>
  <c r="T9" i="29"/>
  <c r="T10" i="29"/>
  <c r="U10" i="29" s="1"/>
  <c r="V10" i="29" s="1"/>
  <c r="W10" i="29" s="1"/>
  <c r="X10" i="29" s="1"/>
  <c r="T11" i="29"/>
  <c r="T12" i="29"/>
  <c r="U12" i="29" s="1"/>
  <c r="V12" i="29" s="1"/>
  <c r="W12" i="29" s="1"/>
  <c r="X12" i="29" s="1"/>
  <c r="T13" i="29"/>
  <c r="U13" i="29" s="1"/>
  <c r="V13" i="29" s="1"/>
  <c r="W13" i="29" s="1"/>
  <c r="X13" i="29" s="1"/>
  <c r="T14" i="29"/>
  <c r="U14" i="29" s="1"/>
  <c r="V14" i="29" s="1"/>
  <c r="W14" i="29" s="1"/>
  <c r="X14" i="29" s="1"/>
  <c r="T15" i="29"/>
  <c r="U15" i="29" s="1"/>
  <c r="V15" i="29" s="1"/>
  <c r="W15" i="29" s="1"/>
  <c r="X15" i="29" s="1"/>
  <c r="T16" i="29"/>
  <c r="T17" i="29"/>
  <c r="U17" i="29" s="1"/>
  <c r="V17" i="29" s="1"/>
  <c r="W17" i="29" s="1"/>
  <c r="X17" i="29" s="1"/>
  <c r="T18" i="29"/>
  <c r="U18" i="29" s="1"/>
  <c r="V18" i="29" s="1"/>
  <c r="W18" i="29" s="1"/>
  <c r="X18" i="29" s="1"/>
  <c r="T19" i="29"/>
  <c r="U19" i="29" s="1"/>
  <c r="V19" i="29" s="1"/>
  <c r="W19" i="29" s="1"/>
  <c r="X19" i="29" s="1"/>
  <c r="T20" i="29"/>
  <c r="U20" i="29" s="1"/>
  <c r="V20" i="29" s="1"/>
  <c r="W20" i="29" s="1"/>
  <c r="X20" i="29" s="1"/>
  <c r="T21" i="29"/>
  <c r="U21" i="29" s="1"/>
  <c r="V21" i="29" s="1"/>
  <c r="W21" i="29" s="1"/>
  <c r="X21" i="29" s="1"/>
  <c r="T22" i="29"/>
  <c r="U22" i="29" s="1"/>
  <c r="V22" i="29" s="1"/>
  <c r="W22" i="29" s="1"/>
  <c r="X22" i="29" s="1"/>
  <c r="T23" i="29"/>
  <c r="U23" i="29" s="1"/>
  <c r="V23" i="29" s="1"/>
  <c r="W23" i="29" s="1"/>
  <c r="X23" i="29" s="1"/>
  <c r="T24" i="29"/>
  <c r="T25" i="29"/>
  <c r="U25" i="29" s="1"/>
  <c r="V25" i="29" s="1"/>
  <c r="W25" i="29" s="1"/>
  <c r="X25" i="29" s="1"/>
  <c r="T26" i="29"/>
  <c r="U26" i="29" s="1"/>
  <c r="V26" i="29" s="1"/>
  <c r="W26" i="29" s="1"/>
  <c r="X26" i="29" s="1"/>
  <c r="T27" i="29"/>
  <c r="U27" i="29" s="1"/>
  <c r="V27" i="29" s="1"/>
  <c r="W27" i="29" s="1"/>
  <c r="X27" i="29" s="1"/>
  <c r="T28" i="29"/>
  <c r="U28" i="29" s="1"/>
  <c r="V28" i="29" s="1"/>
  <c r="W28" i="29" s="1"/>
  <c r="X28" i="29" s="1"/>
  <c r="T29" i="29"/>
  <c r="T30" i="29"/>
  <c r="U30" i="29" s="1"/>
  <c r="V30" i="29" s="1"/>
  <c r="W30" i="29" s="1"/>
  <c r="T31" i="29"/>
  <c r="U31" i="29" s="1"/>
  <c r="V31" i="29" s="1"/>
  <c r="W31" i="29" s="1"/>
  <c r="X31" i="29" s="1"/>
  <c r="T32" i="29"/>
  <c r="U32" i="29" s="1"/>
  <c r="V32" i="29" s="1"/>
  <c r="W32" i="29" s="1"/>
  <c r="X32" i="29" s="1"/>
  <c r="T33" i="29"/>
  <c r="U33" i="29" s="1"/>
  <c r="V33" i="29" s="1"/>
  <c r="W33" i="29" s="1"/>
  <c r="X33" i="29" s="1"/>
  <c r="T34" i="29"/>
  <c r="U34" i="29" s="1"/>
  <c r="V34" i="29" s="1"/>
  <c r="W34" i="29" s="1"/>
  <c r="X34" i="29" s="1"/>
  <c r="T35" i="29"/>
  <c r="U35" i="29" s="1"/>
  <c r="V35" i="29" s="1"/>
  <c r="W35" i="29" s="1"/>
  <c r="X35" i="29" s="1"/>
  <c r="T36" i="29"/>
  <c r="U36" i="29" s="1"/>
  <c r="V36" i="29" s="1"/>
  <c r="W36" i="29" s="1"/>
  <c r="X36" i="29" s="1"/>
  <c r="T37" i="29"/>
  <c r="T38" i="29"/>
  <c r="U38" i="29" s="1"/>
  <c r="V38" i="29" s="1"/>
  <c r="W38" i="29" s="1"/>
  <c r="X38" i="29" s="1"/>
  <c r="T39" i="29"/>
  <c r="U39" i="29" s="1"/>
  <c r="V39" i="29" s="1"/>
  <c r="W39" i="29" s="1"/>
  <c r="X39" i="29" s="1"/>
  <c r="T40" i="29"/>
  <c r="T41" i="29"/>
  <c r="U41" i="29" s="1"/>
  <c r="V41" i="29" s="1"/>
  <c r="W41" i="29" s="1"/>
  <c r="X41" i="29" s="1"/>
  <c r="T42" i="29"/>
  <c r="U42" i="29" s="1"/>
  <c r="V42" i="29" s="1"/>
  <c r="W42" i="29" s="1"/>
  <c r="X42" i="29" s="1"/>
  <c r="T43" i="29"/>
  <c r="U43" i="29" s="1"/>
  <c r="V43" i="29" s="1"/>
  <c r="W43" i="29" s="1"/>
  <c r="X43" i="29" s="1"/>
  <c r="T44" i="29"/>
  <c r="U44" i="29" s="1"/>
  <c r="V44" i="29" s="1"/>
  <c r="W44" i="29" s="1"/>
  <c r="X44" i="29" s="1"/>
  <c r="T45" i="29"/>
  <c r="U45" i="29" s="1"/>
  <c r="V45" i="29" s="1"/>
  <c r="W45" i="29" s="1"/>
  <c r="X45" i="29" s="1"/>
  <c r="T46" i="29"/>
  <c r="U46" i="29" s="1"/>
  <c r="V46" i="29" s="1"/>
  <c r="W46" i="29" s="1"/>
  <c r="X46" i="29" s="1"/>
  <c r="T47" i="29"/>
  <c r="U47" i="29" s="1"/>
  <c r="V47" i="29" s="1"/>
  <c r="W47" i="29" s="1"/>
  <c r="X47" i="29" s="1"/>
  <c r="T48" i="29"/>
  <c r="U48" i="29" s="1"/>
  <c r="V48" i="29" s="1"/>
  <c r="W48" i="29" s="1"/>
  <c r="X48" i="29" s="1"/>
  <c r="T49" i="29"/>
  <c r="U49" i="29" s="1"/>
  <c r="V49" i="29" s="1"/>
  <c r="W49" i="29" s="1"/>
  <c r="X49" i="29" s="1"/>
  <c r="T50" i="29"/>
  <c r="U50" i="29" s="1"/>
  <c r="V50" i="29" s="1"/>
  <c r="W50" i="29" s="1"/>
  <c r="X50" i="29" s="1"/>
  <c r="T51" i="29"/>
  <c r="U51" i="29" s="1"/>
  <c r="V51" i="29" s="1"/>
  <c r="W51" i="29" s="1"/>
  <c r="X51" i="29" s="1"/>
  <c r="T52" i="29"/>
  <c r="U52" i="29" s="1"/>
  <c r="V52" i="29" s="1"/>
  <c r="W52" i="29" s="1"/>
  <c r="X52" i="29" s="1"/>
  <c r="U8" i="29"/>
  <c r="U9" i="29"/>
  <c r="V9" i="29" s="1"/>
  <c r="W9" i="29" s="1"/>
  <c r="X9" i="29" s="1"/>
  <c r="U11" i="29"/>
  <c r="V11" i="29" s="1"/>
  <c r="W11" i="29" s="1"/>
  <c r="X11" i="29" s="1"/>
  <c r="U16" i="29"/>
  <c r="V16" i="29" s="1"/>
  <c r="W16" i="29" s="1"/>
  <c r="X16" i="29" s="1"/>
  <c r="U24" i="29"/>
  <c r="V24" i="29" s="1"/>
  <c r="W24" i="29" s="1"/>
  <c r="X24" i="29" s="1"/>
  <c r="U29" i="29"/>
  <c r="V29" i="29" s="1"/>
  <c r="W29" i="29" s="1"/>
  <c r="X29" i="29" s="1"/>
  <c r="U37" i="29"/>
  <c r="V37" i="29" s="1"/>
  <c r="W37" i="29" s="1"/>
  <c r="X37" i="29" s="1"/>
  <c r="U40" i="29"/>
  <c r="V40" i="29" s="1"/>
  <c r="W40" i="29" s="1"/>
  <c r="X40" i="29" s="1"/>
  <c r="V8" i="29"/>
  <c r="W8" i="29" s="1"/>
  <c r="X8" i="29" s="1"/>
  <c r="X6" i="29"/>
  <c r="X30" i="29"/>
  <c r="Y6" i="29"/>
  <c r="Y7" i="29"/>
  <c r="AB7" i="29" s="1"/>
  <c r="AC7" i="29" s="1"/>
  <c r="Y8" i="29"/>
  <c r="Y9" i="29"/>
  <c r="Y10" i="29"/>
  <c r="Y11" i="29"/>
  <c r="Y12" i="29"/>
  <c r="Y13" i="29"/>
  <c r="Y14" i="29"/>
  <c r="Y15" i="29"/>
  <c r="AB15" i="29" s="1"/>
  <c r="AC15" i="29" s="1"/>
  <c r="Y16" i="29"/>
  <c r="Y17" i="29"/>
  <c r="Y18" i="29"/>
  <c r="Y19" i="29"/>
  <c r="Y20" i="29"/>
  <c r="Y21" i="29"/>
  <c r="Y22" i="29"/>
  <c r="Y23" i="29"/>
  <c r="AB23" i="29" s="1"/>
  <c r="AC23" i="29" s="1"/>
  <c r="Y24" i="29"/>
  <c r="Y25" i="29"/>
  <c r="Y26" i="29"/>
  <c r="Y27" i="29"/>
  <c r="Y28" i="29"/>
  <c r="Y29" i="29"/>
  <c r="Y30" i="29"/>
  <c r="Y31" i="29"/>
  <c r="AB31" i="29" s="1"/>
  <c r="AC31" i="29" s="1"/>
  <c r="Y32" i="29"/>
  <c r="Y33" i="29"/>
  <c r="Y34" i="29"/>
  <c r="Y35" i="29"/>
  <c r="Y36" i="29"/>
  <c r="Y37" i="29"/>
  <c r="Y38" i="29"/>
  <c r="Y39" i="29"/>
  <c r="AB39" i="29" s="1"/>
  <c r="AC39" i="29" s="1"/>
  <c r="Y40" i="29"/>
  <c r="Y41" i="29"/>
  <c r="Y42" i="29"/>
  <c r="Y43" i="29"/>
  <c r="Y44" i="29"/>
  <c r="Y45" i="29"/>
  <c r="Y46" i="29"/>
  <c r="Y47" i="29"/>
  <c r="AB47" i="29" s="1"/>
  <c r="AC47" i="29" s="1"/>
  <c r="Y48" i="29"/>
  <c r="Y49" i="29"/>
  <c r="Y50" i="29"/>
  <c r="Y51" i="29"/>
  <c r="Y52" i="29"/>
  <c r="Z6" i="29"/>
  <c r="Z7" i="29"/>
  <c r="Z8" i="29"/>
  <c r="AB8" i="29" s="1"/>
  <c r="Z9" i="29"/>
  <c r="Z10" i="29"/>
  <c r="Z11" i="29"/>
  <c r="Z12" i="29"/>
  <c r="Z13" i="29"/>
  <c r="Z14" i="29"/>
  <c r="Z15" i="29"/>
  <c r="Z16" i="29"/>
  <c r="Z17" i="29"/>
  <c r="Z18" i="29"/>
  <c r="Z19" i="29"/>
  <c r="Z20" i="29"/>
  <c r="Z21" i="29"/>
  <c r="Z22" i="29"/>
  <c r="Z23" i="29"/>
  <c r="Z24" i="29"/>
  <c r="AB24" i="29" s="1"/>
  <c r="Z25" i="29"/>
  <c r="Z26" i="29"/>
  <c r="Z27" i="29"/>
  <c r="Z28" i="29"/>
  <c r="Z29" i="29"/>
  <c r="Z30" i="29"/>
  <c r="Z31" i="29"/>
  <c r="Z32" i="29"/>
  <c r="AB32" i="29" s="1"/>
  <c r="Z33" i="29"/>
  <c r="Z34" i="29"/>
  <c r="Z35" i="29"/>
  <c r="Z36" i="29"/>
  <c r="Z37" i="29"/>
  <c r="Z38" i="29"/>
  <c r="Z39" i="29"/>
  <c r="Z40" i="29"/>
  <c r="AB40" i="29" s="1"/>
  <c r="Z41" i="29"/>
  <c r="Z42" i="29"/>
  <c r="Z43" i="29"/>
  <c r="Z44" i="29"/>
  <c r="Z45" i="29"/>
  <c r="Z46" i="29"/>
  <c r="Z47" i="29"/>
  <c r="Z48" i="29"/>
  <c r="AB48" i="29" s="1"/>
  <c r="Z49" i="29"/>
  <c r="Z50" i="29"/>
  <c r="Z51" i="29"/>
  <c r="Z52" i="29"/>
  <c r="AA6" i="29"/>
  <c r="AA7" i="29"/>
  <c r="AA8" i="29"/>
  <c r="AA9" i="29"/>
  <c r="AA10" i="29"/>
  <c r="AA11" i="29"/>
  <c r="AA12" i="29"/>
  <c r="AA13" i="29"/>
  <c r="AA14" i="29"/>
  <c r="AA15" i="29"/>
  <c r="AA16" i="29"/>
  <c r="AA17" i="29"/>
  <c r="AA18" i="29"/>
  <c r="AA19" i="29"/>
  <c r="AA20" i="29"/>
  <c r="AA21" i="29"/>
  <c r="AA22" i="29"/>
  <c r="AA23" i="29"/>
  <c r="AA24" i="29"/>
  <c r="AA25" i="29"/>
  <c r="AA26" i="29"/>
  <c r="AA27" i="29"/>
  <c r="AA28" i="29"/>
  <c r="AA29" i="29"/>
  <c r="AA30" i="29"/>
  <c r="AA31" i="29"/>
  <c r="AA32" i="29"/>
  <c r="AA33" i="29"/>
  <c r="AA34" i="29"/>
  <c r="AA35" i="29"/>
  <c r="AA36" i="29"/>
  <c r="AA37" i="29"/>
  <c r="AA38" i="29"/>
  <c r="AA39" i="29"/>
  <c r="AA40" i="29"/>
  <c r="AA41" i="29"/>
  <c r="AA42" i="29"/>
  <c r="AA43" i="29"/>
  <c r="AA44" i="29"/>
  <c r="AA45" i="29"/>
  <c r="AA46" i="29"/>
  <c r="AA47" i="29"/>
  <c r="AA48" i="29"/>
  <c r="AA49" i="29"/>
  <c r="AA50" i="29"/>
  <c r="AA51" i="29"/>
  <c r="AA52" i="29"/>
  <c r="AB10" i="29"/>
  <c r="AB12" i="29"/>
  <c r="AE12" i="29" s="1"/>
  <c r="AF12" i="29" s="1"/>
  <c r="AW12" i="29" s="1"/>
  <c r="AB26" i="29"/>
  <c r="AB28" i="29"/>
  <c r="AE28" i="29" s="1"/>
  <c r="AF28" i="29" s="1"/>
  <c r="AQ28" i="29" s="1"/>
  <c r="AB29" i="29"/>
  <c r="AE29" i="29" s="1"/>
  <c r="AF29" i="29" s="1"/>
  <c r="AB36" i="29"/>
  <c r="AE36" i="29" s="1"/>
  <c r="AF36" i="29" s="1"/>
  <c r="AD36" i="29" s="1"/>
  <c r="AB37" i="29"/>
  <c r="AE37" i="29" s="1"/>
  <c r="AF37" i="29" s="1"/>
  <c r="AD37" i="29" s="1"/>
  <c r="AB50" i="29"/>
  <c r="AC35" i="29"/>
  <c r="AH6" i="29"/>
  <c r="AH7" i="29"/>
  <c r="AH8" i="29"/>
  <c r="AH9" i="29"/>
  <c r="AH10" i="29"/>
  <c r="AH11" i="29"/>
  <c r="AH12" i="29"/>
  <c r="AH13" i="29"/>
  <c r="AH14" i="29"/>
  <c r="AH15" i="29"/>
  <c r="AH16" i="29"/>
  <c r="AH17" i="29"/>
  <c r="AH18" i="29"/>
  <c r="AH19" i="29"/>
  <c r="AH20" i="29"/>
  <c r="AH21" i="29"/>
  <c r="AH22" i="29"/>
  <c r="AH23" i="29"/>
  <c r="AH24" i="29"/>
  <c r="AH25" i="29"/>
  <c r="AH26" i="29"/>
  <c r="AH27" i="29"/>
  <c r="AH28" i="29"/>
  <c r="AH29" i="29"/>
  <c r="AH30" i="29"/>
  <c r="AH31" i="29"/>
  <c r="AH32" i="29"/>
  <c r="AH33" i="29"/>
  <c r="AH34" i="29"/>
  <c r="AH35" i="29"/>
  <c r="AH36" i="29"/>
  <c r="AH37" i="29"/>
  <c r="AH38" i="29"/>
  <c r="AH39" i="29"/>
  <c r="AH40" i="29"/>
  <c r="AH41" i="29"/>
  <c r="AH42" i="29"/>
  <c r="AH43" i="29"/>
  <c r="AH44" i="29"/>
  <c r="AH45" i="29"/>
  <c r="AH46" i="29"/>
  <c r="AH47" i="29"/>
  <c r="AH48" i="29"/>
  <c r="AH49" i="29"/>
  <c r="AH50" i="29"/>
  <c r="AH51" i="29"/>
  <c r="AH52" i="29"/>
  <c r="AI6" i="29"/>
  <c r="AK6" i="29" s="1"/>
  <c r="AI7" i="29"/>
  <c r="AI8" i="29"/>
  <c r="AI9" i="29"/>
  <c r="AK9" i="29" s="1"/>
  <c r="AI10" i="29"/>
  <c r="AK10" i="29" s="1"/>
  <c r="AI11" i="29"/>
  <c r="AK11" i="29" s="1"/>
  <c r="AI12" i="29"/>
  <c r="AK12" i="29" s="1"/>
  <c r="AI13" i="29"/>
  <c r="AK13" i="29" s="1"/>
  <c r="AI14" i="29"/>
  <c r="AK14" i="29" s="1"/>
  <c r="AI15" i="29"/>
  <c r="AK15" i="29" s="1"/>
  <c r="AI16" i="29"/>
  <c r="AK16" i="29" s="1"/>
  <c r="AI17" i="29"/>
  <c r="AK17" i="29" s="1"/>
  <c r="AI18" i="29"/>
  <c r="AK18" i="29" s="1"/>
  <c r="AI19" i="29"/>
  <c r="AK19" i="29" s="1"/>
  <c r="AI20" i="29"/>
  <c r="AK20" i="29" s="1"/>
  <c r="AI21" i="29"/>
  <c r="AK21" i="29" s="1"/>
  <c r="AI22" i="29"/>
  <c r="AK22" i="29" s="1"/>
  <c r="AI23" i="29"/>
  <c r="AK23" i="29" s="1"/>
  <c r="AI24" i="29"/>
  <c r="AI25" i="29"/>
  <c r="AK25" i="29" s="1"/>
  <c r="AI26" i="29"/>
  <c r="AK26" i="29" s="1"/>
  <c r="AI27" i="29"/>
  <c r="AK27" i="29" s="1"/>
  <c r="AI28" i="29"/>
  <c r="AK28" i="29" s="1"/>
  <c r="AI29" i="29"/>
  <c r="AK29" i="29" s="1"/>
  <c r="AI30" i="29"/>
  <c r="AK30" i="29" s="1"/>
  <c r="AI31" i="29"/>
  <c r="AK31" i="29" s="1"/>
  <c r="AI32" i="29"/>
  <c r="AK32" i="29" s="1"/>
  <c r="AI33" i="29"/>
  <c r="AK33" i="29" s="1"/>
  <c r="AI34" i="29"/>
  <c r="AK34" i="29" s="1"/>
  <c r="AI35" i="29"/>
  <c r="AK35" i="29" s="1"/>
  <c r="AI36" i="29"/>
  <c r="AK36" i="29" s="1"/>
  <c r="AI37" i="29"/>
  <c r="AI38" i="29"/>
  <c r="AK38" i="29" s="1"/>
  <c r="AI39" i="29"/>
  <c r="AK39" i="29" s="1"/>
  <c r="AI40" i="29"/>
  <c r="AI41" i="29"/>
  <c r="AK41" i="29" s="1"/>
  <c r="AI42" i="29"/>
  <c r="AK42" i="29" s="1"/>
  <c r="AI43" i="29"/>
  <c r="AK43" i="29" s="1"/>
  <c r="AI44" i="29"/>
  <c r="AK44" i="29" s="1"/>
  <c r="AI45" i="29"/>
  <c r="AK45" i="29" s="1"/>
  <c r="AI46" i="29"/>
  <c r="AK46" i="29" s="1"/>
  <c r="AI47" i="29"/>
  <c r="AK47" i="29" s="1"/>
  <c r="AI48" i="29"/>
  <c r="AI49" i="29"/>
  <c r="AK49" i="29" s="1"/>
  <c r="AI50" i="29"/>
  <c r="AK50" i="29" s="1"/>
  <c r="AI51" i="29"/>
  <c r="AK51" i="29" s="1"/>
  <c r="AI52" i="29"/>
  <c r="AK52" i="29" s="1"/>
  <c r="AJ7" i="29"/>
  <c r="AM7" i="29" s="1"/>
  <c r="AJ8" i="29"/>
  <c r="AG8" i="29" s="1"/>
  <c r="AJ11" i="29"/>
  <c r="AJ12" i="29"/>
  <c r="AJ15" i="29"/>
  <c r="AJ16" i="29"/>
  <c r="AM16" i="29" s="1"/>
  <c r="AJ19" i="29"/>
  <c r="AM19" i="29" s="1"/>
  <c r="AJ20" i="29"/>
  <c r="AJ23" i="29"/>
  <c r="AM23" i="29" s="1"/>
  <c r="AJ27" i="29"/>
  <c r="AM27" i="29" s="1"/>
  <c r="AJ28" i="29"/>
  <c r="AJ35" i="29"/>
  <c r="AJ36" i="29"/>
  <c r="AJ37" i="29"/>
  <c r="AM37" i="29" s="1"/>
  <c r="AJ43" i="29"/>
  <c r="AM43" i="29" s="1"/>
  <c r="AJ44" i="29"/>
  <c r="AJ47" i="29"/>
  <c r="AJ48" i="29"/>
  <c r="AM48" i="29" s="1"/>
  <c r="AJ51" i="29"/>
  <c r="AM51" i="29" s="1"/>
  <c r="AN51" i="29" s="1"/>
  <c r="AO51" i="29" s="1"/>
  <c r="AP51" i="29" s="1"/>
  <c r="AJ52" i="29"/>
  <c r="AK7" i="29"/>
  <c r="AK8" i="29"/>
  <c r="AK24" i="29"/>
  <c r="AK37" i="29"/>
  <c r="AK40" i="29"/>
  <c r="AK48" i="29"/>
  <c r="AM11" i="29"/>
  <c r="AM15" i="29"/>
  <c r="AM35" i="29"/>
  <c r="AM47" i="29"/>
  <c r="AR28" i="29"/>
  <c r="AV28" i="29"/>
  <c r="AW28" i="29"/>
  <c r="C22" i="17"/>
  <c r="C21" i="17"/>
  <c r="C20" i="17"/>
  <c r="AX5" i="34"/>
  <c r="S5" i="34"/>
  <c r="S12" i="30"/>
  <c r="AJ12" i="30" s="1"/>
  <c r="DH12" i="30"/>
  <c r="CC12" i="30"/>
  <c r="AX12" i="30"/>
  <c r="BO12" i="30" s="1"/>
  <c r="BR12" i="30" s="1"/>
  <c r="S6" i="5"/>
  <c r="AJ6" i="5" s="1"/>
  <c r="S7" i="5"/>
  <c r="S8" i="5"/>
  <c r="S9" i="5"/>
  <c r="S10" i="5"/>
  <c r="S11" i="5"/>
  <c r="S12" i="5"/>
  <c r="S13" i="5"/>
  <c r="AJ13" i="5" s="1"/>
  <c r="S14" i="5"/>
  <c r="S15" i="5"/>
  <c r="S16" i="5"/>
  <c r="S17" i="5"/>
  <c r="S18" i="5"/>
  <c r="S19" i="5"/>
  <c r="S20" i="5"/>
  <c r="S21" i="5"/>
  <c r="AJ21" i="5" s="1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AJ37" i="5" s="1"/>
  <c r="S38" i="5"/>
  <c r="S39" i="5"/>
  <c r="S40" i="5"/>
  <c r="S41" i="5"/>
  <c r="S42" i="5"/>
  <c r="S43" i="5"/>
  <c r="S44" i="5"/>
  <c r="S45" i="5"/>
  <c r="AJ45" i="5" s="1"/>
  <c r="S46" i="5"/>
  <c r="S47" i="5"/>
  <c r="S48" i="5"/>
  <c r="S49" i="5"/>
  <c r="S50" i="5"/>
  <c r="S51" i="5"/>
  <c r="S5" i="5"/>
  <c r="S5" i="29"/>
  <c r="AJ5" i="29" s="1"/>
  <c r="S5" i="33"/>
  <c r="BO5" i="34"/>
  <c r="AX5" i="33"/>
  <c r="BO5" i="33" s="1"/>
  <c r="BR5" i="33" s="1"/>
  <c r="AH5" i="34"/>
  <c r="BM5" i="34"/>
  <c r="BN5" i="34"/>
  <c r="BP5" i="34" s="1"/>
  <c r="BF5" i="34"/>
  <c r="BE5" i="34"/>
  <c r="BD5" i="34"/>
  <c r="AY5" i="34"/>
  <c r="AZ5" i="34" s="1"/>
  <c r="BA5" i="34" s="1"/>
  <c r="BB5" i="34" s="1"/>
  <c r="BC5" i="34" s="1"/>
  <c r="AI5" i="34"/>
  <c r="AK5" i="34" s="1"/>
  <c r="AA5" i="34"/>
  <c r="Z5" i="34"/>
  <c r="Y5" i="34"/>
  <c r="T5" i="34"/>
  <c r="U5" i="34" s="1"/>
  <c r="V5" i="34" s="1"/>
  <c r="W5" i="34" s="1"/>
  <c r="X5" i="34" s="1"/>
  <c r="AJ5" i="34"/>
  <c r="AM5" i="34" s="1"/>
  <c r="BM5" i="33"/>
  <c r="BN5" i="33"/>
  <c r="BP5" i="33" s="1"/>
  <c r="BF5" i="33"/>
  <c r="BE5" i="33"/>
  <c r="BD5" i="33"/>
  <c r="AY5" i="33"/>
  <c r="AZ5" i="33" s="1"/>
  <c r="BA5" i="33" s="1"/>
  <c r="BB5" i="33" s="1"/>
  <c r="BC5" i="33" s="1"/>
  <c r="T5" i="33"/>
  <c r="U5" i="33" s="1"/>
  <c r="V5" i="33" s="1"/>
  <c r="W5" i="33" s="1"/>
  <c r="X5" i="33" s="1"/>
  <c r="AI5" i="33"/>
  <c r="AK5" i="33" s="1"/>
  <c r="AH5" i="33"/>
  <c r="AA5" i="33"/>
  <c r="Z5" i="33"/>
  <c r="Y5" i="33"/>
  <c r="AY12" i="30"/>
  <c r="AZ12" i="30" s="1"/>
  <c r="BA12" i="30" s="1"/>
  <c r="BB12" i="30" s="1"/>
  <c r="BC12" i="30" s="1"/>
  <c r="BD12" i="30"/>
  <c r="BE12" i="30"/>
  <c r="BF12" i="30"/>
  <c r="BM12" i="30"/>
  <c r="BN12" i="30"/>
  <c r="BP12" i="30" s="1"/>
  <c r="DX12" i="30"/>
  <c r="DZ12" i="30" s="1"/>
  <c r="DW12" i="30"/>
  <c r="DP12" i="30"/>
  <c r="DO12" i="30"/>
  <c r="DN12" i="30"/>
  <c r="DI12" i="30"/>
  <c r="DJ12" i="30" s="1"/>
  <c r="DK12" i="30" s="1"/>
  <c r="DL12" i="30" s="1"/>
  <c r="DM12" i="30" s="1"/>
  <c r="CS12" i="30"/>
  <c r="CU12" i="30" s="1"/>
  <c r="CR12" i="30"/>
  <c r="CK12" i="30"/>
  <c r="CJ12" i="30"/>
  <c r="CI12" i="30"/>
  <c r="CD12" i="30"/>
  <c r="CE12" i="30" s="1"/>
  <c r="CF12" i="30" s="1"/>
  <c r="CG12" i="30" s="1"/>
  <c r="CH12" i="30" s="1"/>
  <c r="AI12" i="30"/>
  <c r="AK12" i="30" s="1"/>
  <c r="AH12" i="30"/>
  <c r="AA12" i="30"/>
  <c r="T12" i="30"/>
  <c r="U12" i="30" s="1"/>
  <c r="V12" i="30" s="1"/>
  <c r="W12" i="30" s="1"/>
  <c r="X12" i="30" s="1"/>
  <c r="Z12" i="30"/>
  <c r="Y12" i="30"/>
  <c r="AI5" i="29"/>
  <c r="AK5" i="29" s="1"/>
  <c r="AH5" i="29"/>
  <c r="AA5" i="29"/>
  <c r="Z5" i="29"/>
  <c r="Y5" i="29"/>
  <c r="U5" i="29"/>
  <c r="V5" i="29" s="1"/>
  <c r="W5" i="29" s="1"/>
  <c r="X5" i="29" s="1"/>
  <c r="AH5" i="5"/>
  <c r="AJ14" i="5"/>
  <c r="AJ22" i="5"/>
  <c r="AJ29" i="5"/>
  <c r="AJ30" i="5"/>
  <c r="AJ38" i="5"/>
  <c r="AJ46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" i="5"/>
  <c r="AJ18" i="29" l="1"/>
  <c r="AB46" i="29"/>
  <c r="AE46" i="29" s="1"/>
  <c r="AF46" i="29" s="1"/>
  <c r="AV36" i="29"/>
  <c r="AJ34" i="29"/>
  <c r="AM34" i="29" s="1"/>
  <c r="AB42" i="29"/>
  <c r="AB14" i="29"/>
  <c r="AE14" i="29" s="1"/>
  <c r="AF14" i="29" s="1"/>
  <c r="AN11" i="29"/>
  <c r="AO11" i="29" s="1"/>
  <c r="AP11" i="29" s="1"/>
  <c r="AN27" i="29"/>
  <c r="AO27" i="29" s="1"/>
  <c r="AP27" i="29" s="1"/>
  <c r="AR34" i="30"/>
  <c r="AV34" i="30"/>
  <c r="AD44" i="30"/>
  <c r="AW44" i="30"/>
  <c r="AQ44" i="30"/>
  <c r="AS44" i="30" s="1"/>
  <c r="CZ37" i="30"/>
  <c r="EE13" i="30"/>
  <c r="AF58" i="30"/>
  <c r="AR58" i="30"/>
  <c r="AV58" i="30"/>
  <c r="AD39" i="30"/>
  <c r="AW39" i="30"/>
  <c r="AQ39" i="30"/>
  <c r="AD28" i="30"/>
  <c r="AL28" i="30" s="1"/>
  <c r="AW28" i="30"/>
  <c r="AQ28" i="30"/>
  <c r="AF55" i="30"/>
  <c r="AR55" i="30"/>
  <c r="AV55" i="30"/>
  <c r="AV50" i="30"/>
  <c r="AR50" i="30"/>
  <c r="AT50" i="30" s="1"/>
  <c r="AU50" i="30" s="1"/>
  <c r="AF50" i="30"/>
  <c r="AN26" i="30"/>
  <c r="AO26" i="30" s="1"/>
  <c r="DQ21" i="30"/>
  <c r="EE21" i="30" s="1"/>
  <c r="CA47" i="30"/>
  <c r="BW47" i="30"/>
  <c r="BL26" i="30"/>
  <c r="BH46" i="30"/>
  <c r="BQ46" i="30" s="1"/>
  <c r="BS33" i="30"/>
  <c r="BT33" i="30" s="1"/>
  <c r="BU33" i="30" s="1"/>
  <c r="AV44" i="30"/>
  <c r="AR44" i="30"/>
  <c r="AR28" i="30"/>
  <c r="AG59" i="30"/>
  <c r="AJ50" i="30"/>
  <c r="AM50" i="30" s="1"/>
  <c r="AG40" i="30"/>
  <c r="AB18" i="30"/>
  <c r="AE18" i="30" s="1"/>
  <c r="DQ53" i="30"/>
  <c r="EE53" i="30" s="1"/>
  <c r="CQ58" i="30"/>
  <c r="DY37" i="30"/>
  <c r="EB37" i="30" s="1"/>
  <c r="EC37" i="30" s="1"/>
  <c r="ED37" i="30" s="1"/>
  <c r="DQ45" i="30"/>
  <c r="CZ55" i="30"/>
  <c r="CB46" i="30"/>
  <c r="CA46" i="30"/>
  <c r="BW46" i="30"/>
  <c r="BV45" i="30"/>
  <c r="BX45" i="30" s="1"/>
  <c r="AV28" i="30"/>
  <c r="AJ58" i="30"/>
  <c r="AM58" i="30" s="1"/>
  <c r="AN58" i="30" s="1"/>
  <c r="AO58" i="30" s="1"/>
  <c r="AP58" i="30" s="1"/>
  <c r="BS21" i="30"/>
  <c r="BT21" i="30" s="1"/>
  <c r="BU21" i="30" s="1"/>
  <c r="AN32" i="30"/>
  <c r="AO32" i="30" s="1"/>
  <c r="AP32" i="30" s="1"/>
  <c r="EC46" i="30"/>
  <c r="ED46" i="30" s="1"/>
  <c r="DT57" i="30"/>
  <c r="DU57" i="30" s="1"/>
  <c r="DS57" i="30" s="1"/>
  <c r="DQ13" i="30"/>
  <c r="DT13" i="30" s="1"/>
  <c r="DF25" i="30"/>
  <c r="CL53" i="30"/>
  <c r="CO53" i="30" s="1"/>
  <c r="DB53" i="30" s="1"/>
  <c r="CL45" i="30"/>
  <c r="CM45" i="30" s="1"/>
  <c r="CL37" i="30"/>
  <c r="CL29" i="30"/>
  <c r="CL21" i="30"/>
  <c r="CL13" i="30"/>
  <c r="CM13" i="30" s="1"/>
  <c r="CB45" i="30"/>
  <c r="CA45" i="30"/>
  <c r="BW45" i="30"/>
  <c r="AV39" i="30"/>
  <c r="AR39" i="30"/>
  <c r="AN22" i="30"/>
  <c r="AO22" i="30" s="1"/>
  <c r="AP22" i="30" s="1"/>
  <c r="AG58" i="30"/>
  <c r="AG50" i="30"/>
  <c r="AG42" i="30"/>
  <c r="AG34" i="30"/>
  <c r="AG26" i="30"/>
  <c r="AG18" i="30"/>
  <c r="AB26" i="30"/>
  <c r="AE26" i="30" s="1"/>
  <c r="AN15" i="30"/>
  <c r="AO15" i="30" s="1"/>
  <c r="AP15" i="30" s="1"/>
  <c r="AT15" i="30" s="1"/>
  <c r="AN23" i="30"/>
  <c r="AO23" i="30" s="1"/>
  <c r="AP23" i="30" s="1"/>
  <c r="AS23" i="30" s="1"/>
  <c r="AN16" i="30"/>
  <c r="AO16" i="30" s="1"/>
  <c r="AP16" i="30" s="1"/>
  <c r="AL29" i="30"/>
  <c r="CZ39" i="30"/>
  <c r="DC39" i="30" s="1"/>
  <c r="CT20" i="30"/>
  <c r="BH14" i="30"/>
  <c r="BS16" i="30"/>
  <c r="BT16" i="30" s="1"/>
  <c r="AQ19" i="30"/>
  <c r="AL45" i="30"/>
  <c r="AN47" i="30"/>
  <c r="AO47" i="30" s="1"/>
  <c r="AP47" i="30" s="1"/>
  <c r="AS47" i="30" s="1"/>
  <c r="BS55" i="30"/>
  <c r="BT55" i="30" s="1"/>
  <c r="BU55" i="30" s="1"/>
  <c r="AN42" i="30"/>
  <c r="AO42" i="30" s="1"/>
  <c r="AP42" i="30" s="1"/>
  <c r="AT42" i="30" s="1"/>
  <c r="AU42" i="30" s="1"/>
  <c r="EC22" i="30"/>
  <c r="ED22" i="30" s="1"/>
  <c r="EE22" i="30" s="1"/>
  <c r="CT28" i="30"/>
  <c r="CW28" i="30" s="1"/>
  <c r="CM23" i="30"/>
  <c r="CA15" i="30"/>
  <c r="BV14" i="30"/>
  <c r="BL54" i="30"/>
  <c r="AV51" i="30"/>
  <c r="AR19" i="30"/>
  <c r="AG32" i="30"/>
  <c r="AE30" i="30"/>
  <c r="AF30" i="30" s="1"/>
  <c r="AW30" i="30" s="1"/>
  <c r="AN33" i="30"/>
  <c r="AO33" i="30" s="1"/>
  <c r="DV42" i="30"/>
  <c r="EA57" i="30"/>
  <c r="CX16" i="30"/>
  <c r="CY16" i="30" s="1"/>
  <c r="CZ16" i="30" s="1"/>
  <c r="CB14" i="30"/>
  <c r="CA14" i="30"/>
  <c r="BW15" i="30"/>
  <c r="BS54" i="30"/>
  <c r="BT54" i="30" s="1"/>
  <c r="BU54" i="30" s="1"/>
  <c r="BY54" i="30" s="1"/>
  <c r="AR51" i="30"/>
  <c r="AL14" i="30"/>
  <c r="AE29" i="30"/>
  <c r="AL53" i="30"/>
  <c r="AC58" i="30"/>
  <c r="AL58" i="30" s="1"/>
  <c r="AC50" i="30"/>
  <c r="AC34" i="30"/>
  <c r="AC26" i="30"/>
  <c r="AL30" i="34"/>
  <c r="AL23" i="34"/>
  <c r="AC30" i="34"/>
  <c r="AG47" i="34"/>
  <c r="AR12" i="34"/>
  <c r="BS18" i="34"/>
  <c r="BT18" i="34" s="1"/>
  <c r="BU18" i="34" s="1"/>
  <c r="AV23" i="34"/>
  <c r="AB20" i="34"/>
  <c r="AE20" i="34" s="1"/>
  <c r="AV20" i="34" s="1"/>
  <c r="CD20" i="34" s="1"/>
  <c r="AG18" i="34"/>
  <c r="AB36" i="34"/>
  <c r="AE36" i="34" s="1"/>
  <c r="AF36" i="34" s="1"/>
  <c r="AD36" i="34" s="1"/>
  <c r="BS50" i="34"/>
  <c r="BT50" i="34" s="1"/>
  <c r="BU50" i="34" s="1"/>
  <c r="BS45" i="34"/>
  <c r="BT45" i="34" s="1"/>
  <c r="BU45" i="34" s="1"/>
  <c r="BS29" i="34"/>
  <c r="BT29" i="34" s="1"/>
  <c r="BU29" i="34" s="1"/>
  <c r="BS21" i="34"/>
  <c r="BT21" i="34" s="1"/>
  <c r="BU21" i="34" s="1"/>
  <c r="AW44" i="34"/>
  <c r="AL46" i="34"/>
  <c r="AB52" i="34"/>
  <c r="AE52" i="34" s="1"/>
  <c r="AF52" i="34" s="1"/>
  <c r="AD52" i="34" s="1"/>
  <c r="AE39" i="34"/>
  <c r="BS43" i="34"/>
  <c r="BT43" i="34" s="1"/>
  <c r="BL11" i="34"/>
  <c r="AW24" i="34"/>
  <c r="AN32" i="33"/>
  <c r="AO32" i="33" s="1"/>
  <c r="AN10" i="33"/>
  <c r="AO10" i="33" s="1"/>
  <c r="AN18" i="33"/>
  <c r="AO18" i="33" s="1"/>
  <c r="BS32" i="33"/>
  <c r="BT32" i="33" s="1"/>
  <c r="BS8" i="33"/>
  <c r="BT8" i="33" s="1"/>
  <c r="AR9" i="33"/>
  <c r="AP17" i="33"/>
  <c r="AB24" i="33"/>
  <c r="AC24" i="33" s="1"/>
  <c r="AQ25" i="33"/>
  <c r="AN50" i="33"/>
  <c r="AO50" i="33" s="1"/>
  <c r="AB8" i="33"/>
  <c r="AC8" i="33" s="1"/>
  <c r="AB50" i="33"/>
  <c r="AB42" i="33"/>
  <c r="AB34" i="33"/>
  <c r="AC34" i="33" s="1"/>
  <c r="AB26" i="33"/>
  <c r="AB18" i="33"/>
  <c r="AB10" i="33"/>
  <c r="AB48" i="33"/>
  <c r="AB40" i="33"/>
  <c r="AC40" i="33" s="1"/>
  <c r="AB32" i="33"/>
  <c r="AB16" i="33"/>
  <c r="AN42" i="33"/>
  <c r="AO42" i="33" s="1"/>
  <c r="AW25" i="33"/>
  <c r="AV25" i="33"/>
  <c r="AN34" i="33"/>
  <c r="AO34" i="33" s="1"/>
  <c r="AG46" i="33"/>
  <c r="AG22" i="33"/>
  <c r="BQ25" i="33"/>
  <c r="AG30" i="33"/>
  <c r="AG14" i="33"/>
  <c r="BG45" i="33"/>
  <c r="BJ45" i="33" s="1"/>
  <c r="BK45" i="33" s="1"/>
  <c r="BG37" i="33"/>
  <c r="BH37" i="33" s="1"/>
  <c r="BQ37" i="33" s="1"/>
  <c r="BG29" i="33"/>
  <c r="BH29" i="33" s="1"/>
  <c r="BQ29" i="33" s="1"/>
  <c r="BG21" i="33"/>
  <c r="BH21" i="33" s="1"/>
  <c r="BQ21" i="33" s="1"/>
  <c r="BG13" i="33"/>
  <c r="BH13" i="33" s="1"/>
  <c r="BQ13" i="33" s="1"/>
  <c r="AB45" i="33"/>
  <c r="AB37" i="33"/>
  <c r="AB29" i="33"/>
  <c r="AE29" i="33" s="1"/>
  <c r="AB21" i="33"/>
  <c r="AB13" i="33"/>
  <c r="BS36" i="33"/>
  <c r="BT36" i="33" s="1"/>
  <c r="BU36" i="33" s="1"/>
  <c r="BS20" i="33"/>
  <c r="BT20" i="33" s="1"/>
  <c r="BU20" i="33" s="1"/>
  <c r="BL47" i="33"/>
  <c r="AG20" i="33"/>
  <c r="BH49" i="33"/>
  <c r="BQ49" i="33" s="1"/>
  <c r="BH19" i="34"/>
  <c r="BJ19" i="34"/>
  <c r="BW19" i="34" s="1"/>
  <c r="AL24" i="34"/>
  <c r="BQ19" i="34"/>
  <c r="BS20" i="34"/>
  <c r="BT20" i="34" s="1"/>
  <c r="BU20" i="34" s="1"/>
  <c r="BY20" i="34" s="1"/>
  <c r="BZ20" i="34" s="1"/>
  <c r="BS37" i="34"/>
  <c r="BT37" i="34" s="1"/>
  <c r="AN17" i="34"/>
  <c r="AO17" i="34" s="1"/>
  <c r="AP17" i="34" s="1"/>
  <c r="BG11" i="34"/>
  <c r="BH11" i="34" s="1"/>
  <c r="BQ11" i="34" s="1"/>
  <c r="BW52" i="34"/>
  <c r="BL52" i="34"/>
  <c r="BO42" i="34"/>
  <c r="BR42" i="34" s="1"/>
  <c r="BS31" i="34"/>
  <c r="BT31" i="34" s="1"/>
  <c r="BO10" i="34"/>
  <c r="BR10" i="34" s="1"/>
  <c r="BS10" i="34" s="1"/>
  <c r="BT10" i="34" s="1"/>
  <c r="BU10" i="34" s="1"/>
  <c r="BS13" i="34"/>
  <c r="BT13" i="34" s="1"/>
  <c r="BU13" i="34" s="1"/>
  <c r="AN49" i="34"/>
  <c r="AO49" i="34" s="1"/>
  <c r="AP49" i="34" s="1"/>
  <c r="BQ52" i="34"/>
  <c r="BO51" i="34"/>
  <c r="BL51" i="34" s="1"/>
  <c r="BO19" i="34"/>
  <c r="BR19" i="34" s="1"/>
  <c r="BS19" i="34" s="1"/>
  <c r="BT19" i="34" s="1"/>
  <c r="BU19" i="34" s="1"/>
  <c r="BY19" i="34" s="1"/>
  <c r="BZ19" i="34" s="1"/>
  <c r="AV13" i="34"/>
  <c r="AR36" i="34"/>
  <c r="AF22" i="34"/>
  <c r="AB21" i="34"/>
  <c r="AB50" i="34"/>
  <c r="AB42" i="34"/>
  <c r="AC42" i="34" s="1"/>
  <c r="AL42" i="34" s="1"/>
  <c r="AB34" i="34"/>
  <c r="AB26" i="34"/>
  <c r="AE26" i="34" s="1"/>
  <c r="AB18" i="34"/>
  <c r="AE18" i="34" s="1"/>
  <c r="AB10" i="34"/>
  <c r="AP10" i="34" s="1"/>
  <c r="AN45" i="34"/>
  <c r="AO45" i="34" s="1"/>
  <c r="AN29" i="34"/>
  <c r="AO29" i="34" s="1"/>
  <c r="AN21" i="34"/>
  <c r="AO21" i="34" s="1"/>
  <c r="AP21" i="34" s="1"/>
  <c r="BR52" i="34"/>
  <c r="BS52" i="34" s="1"/>
  <c r="BT52" i="34" s="1"/>
  <c r="BU52" i="34" s="1"/>
  <c r="BY52" i="34" s="1"/>
  <c r="BZ52" i="34" s="1"/>
  <c r="BO26" i="34"/>
  <c r="BR26" i="34" s="1"/>
  <c r="BS26" i="34" s="1"/>
  <c r="BT26" i="34" s="1"/>
  <c r="BU26" i="34" s="1"/>
  <c r="BS42" i="34"/>
  <c r="BT42" i="34" s="1"/>
  <c r="BU42" i="34" s="1"/>
  <c r="BY42" i="34" s="1"/>
  <c r="AR52" i="34"/>
  <c r="AN9" i="34"/>
  <c r="AO9" i="34" s="1"/>
  <c r="AP9" i="34" s="1"/>
  <c r="AE16" i="34"/>
  <c r="BS36" i="34"/>
  <c r="BT36" i="34" s="1"/>
  <c r="BU36" i="34" s="1"/>
  <c r="AN48" i="34"/>
  <c r="AO48" i="34" s="1"/>
  <c r="AP48" i="34" s="1"/>
  <c r="BG43" i="34"/>
  <c r="BH43" i="34" s="1"/>
  <c r="BQ43" i="34" s="1"/>
  <c r="AV36" i="34"/>
  <c r="AM47" i="34"/>
  <c r="AN47" i="34" s="1"/>
  <c r="AO47" i="34" s="1"/>
  <c r="AP47" i="34" s="1"/>
  <c r="AT47" i="34" s="1"/>
  <c r="AU47" i="34" s="1"/>
  <c r="CA52" i="34"/>
  <c r="BS12" i="34"/>
  <c r="BT12" i="34" s="1"/>
  <c r="BU12" i="34" s="1"/>
  <c r="BY12" i="34" s="1"/>
  <c r="BZ12" i="34" s="1"/>
  <c r="BO35" i="34"/>
  <c r="BL25" i="34"/>
  <c r="BS40" i="34"/>
  <c r="BT40" i="34" s="1"/>
  <c r="BS32" i="34"/>
  <c r="BT32" i="34" s="1"/>
  <c r="BS24" i="34"/>
  <c r="BT24" i="34" s="1"/>
  <c r="BS16" i="34"/>
  <c r="BT16" i="34" s="1"/>
  <c r="BS8" i="34"/>
  <c r="BT8" i="34" s="1"/>
  <c r="BU8" i="34" s="1"/>
  <c r="AW13" i="34"/>
  <c r="AR47" i="34"/>
  <c r="AR22" i="34"/>
  <c r="AQ36" i="34"/>
  <c r="AL37" i="34"/>
  <c r="AL13" i="34"/>
  <c r="AG49" i="34"/>
  <c r="AE37" i="34"/>
  <c r="BO27" i="34"/>
  <c r="BR27" i="34" s="1"/>
  <c r="BS27" i="34" s="1"/>
  <c r="BT27" i="34" s="1"/>
  <c r="BU27" i="34" s="1"/>
  <c r="BO34" i="34"/>
  <c r="BR34" i="34" s="1"/>
  <c r="BS34" i="34" s="1"/>
  <c r="BT34" i="34" s="1"/>
  <c r="BU34" i="34" s="1"/>
  <c r="AQ13" i="34"/>
  <c r="AN30" i="34"/>
  <c r="AO30" i="34" s="1"/>
  <c r="AP30" i="34" s="1"/>
  <c r="AE32" i="34"/>
  <c r="AB45" i="34"/>
  <c r="BL49" i="34"/>
  <c r="CA28" i="34"/>
  <c r="BS44" i="34"/>
  <c r="BT44" i="34" s="1"/>
  <c r="BU44" i="34" s="1"/>
  <c r="BH12" i="34"/>
  <c r="BJ50" i="34"/>
  <c r="BJ42" i="34"/>
  <c r="BW42" i="34" s="1"/>
  <c r="BJ34" i="34"/>
  <c r="BW34" i="34" s="1"/>
  <c r="BS23" i="34"/>
  <c r="BT23" i="34" s="1"/>
  <c r="BS15" i="34"/>
  <c r="BT15" i="34" s="1"/>
  <c r="AV47" i="34"/>
  <c r="AR13" i="34"/>
  <c r="EC25" i="30"/>
  <c r="ED25" i="30" s="1"/>
  <c r="EE25" i="30" s="1"/>
  <c r="AD15" i="30"/>
  <c r="AL15" i="30" s="1"/>
  <c r="AQ15" i="30"/>
  <c r="AS15" i="30" s="1"/>
  <c r="AU15" i="30" s="1"/>
  <c r="AW15" i="30"/>
  <c r="AT55" i="30"/>
  <c r="BS45" i="30"/>
  <c r="BT45" i="30" s="1"/>
  <c r="BU45" i="30" s="1"/>
  <c r="AL30" i="30"/>
  <c r="AV42" i="30"/>
  <c r="AF42" i="30"/>
  <c r="AR42" i="30"/>
  <c r="AD58" i="30"/>
  <c r="AQ58" i="30"/>
  <c r="AW58" i="30"/>
  <c r="AN49" i="30"/>
  <c r="AO49" i="30" s="1"/>
  <c r="AN25" i="30"/>
  <c r="AO25" i="30" s="1"/>
  <c r="AN34" i="30"/>
  <c r="AO34" i="30" s="1"/>
  <c r="AP34" i="30" s="1"/>
  <c r="DY39" i="30"/>
  <c r="DR48" i="30"/>
  <c r="DR40" i="30"/>
  <c r="EA40" i="30" s="1"/>
  <c r="DT32" i="30"/>
  <c r="EG32" i="30" s="1"/>
  <c r="DR24" i="30"/>
  <c r="DR16" i="30"/>
  <c r="DQ47" i="30"/>
  <c r="DQ31" i="30"/>
  <c r="DQ15" i="30"/>
  <c r="DF19" i="30"/>
  <c r="DB35" i="30"/>
  <c r="CT35" i="30"/>
  <c r="CW35" i="30" s="1"/>
  <c r="CX35" i="30" s="1"/>
  <c r="CY35" i="30" s="1"/>
  <c r="CZ35" i="30" s="1"/>
  <c r="CQ26" i="30"/>
  <c r="CQ31" i="30"/>
  <c r="CO34" i="30"/>
  <c r="DF34" i="30" s="1"/>
  <c r="BO28" i="30"/>
  <c r="BG36" i="30"/>
  <c r="AW13" i="30"/>
  <c r="AG39" i="30"/>
  <c r="AG31" i="30"/>
  <c r="AN40" i="30"/>
  <c r="AO40" i="30" s="1"/>
  <c r="AP40" i="30" s="1"/>
  <c r="AN17" i="30"/>
  <c r="AO17" i="30" s="1"/>
  <c r="CX27" i="30"/>
  <c r="CY27" i="30" s="1"/>
  <c r="CZ27" i="30" s="1"/>
  <c r="AG48" i="30"/>
  <c r="EC38" i="30"/>
  <c r="ED38" i="30" s="1"/>
  <c r="EE38" i="30" s="1"/>
  <c r="EE29" i="30"/>
  <c r="EC19" i="30"/>
  <c r="ED19" i="30" s="1"/>
  <c r="EE19" i="30" s="1"/>
  <c r="DV58" i="30"/>
  <c r="DV50" i="30"/>
  <c r="DV34" i="30"/>
  <c r="DV26" i="30"/>
  <c r="DV18" i="30"/>
  <c r="EA49" i="30"/>
  <c r="EA25" i="30"/>
  <c r="DT25" i="30"/>
  <c r="DQ23" i="30"/>
  <c r="DT23" i="30" s="1"/>
  <c r="DU23" i="30" s="1"/>
  <c r="EF23" i="30" s="1"/>
  <c r="DF59" i="30"/>
  <c r="DB27" i="30"/>
  <c r="CT43" i="30"/>
  <c r="CW43" i="30" s="1"/>
  <c r="CM19" i="30"/>
  <c r="CA31" i="30"/>
  <c r="AN50" i="30"/>
  <c r="AO50" i="30" s="1"/>
  <c r="AP50" i="30" s="1"/>
  <c r="AN14" i="30"/>
  <c r="AO14" i="30" s="1"/>
  <c r="AP14" i="30" s="1"/>
  <c r="AT14" i="30" s="1"/>
  <c r="AU14" i="30" s="1"/>
  <c r="AF34" i="30"/>
  <c r="AG56" i="30"/>
  <c r="AN24" i="30"/>
  <c r="AO24" i="30" s="1"/>
  <c r="AP24" i="30" s="1"/>
  <c r="DY55" i="30"/>
  <c r="EE37" i="30"/>
  <c r="DF51" i="30"/>
  <c r="DB19" i="30"/>
  <c r="CX53" i="30"/>
  <c r="CY53" i="30" s="1"/>
  <c r="CZ53" i="30" s="1"/>
  <c r="DD53" i="30" s="1"/>
  <c r="CP59" i="30"/>
  <c r="DA59" i="30" s="1"/>
  <c r="DC59" i="30" s="1"/>
  <c r="BO44" i="30"/>
  <c r="BR44" i="30" s="1"/>
  <c r="BS44" i="30" s="1"/>
  <c r="BT44" i="30" s="1"/>
  <c r="BU44" i="30" s="1"/>
  <c r="BL16" i="30"/>
  <c r="BH13" i="30"/>
  <c r="AV45" i="30"/>
  <c r="AM40" i="30"/>
  <c r="EC54" i="30"/>
  <c r="ED54" i="30" s="1"/>
  <c r="EE54" i="30" s="1"/>
  <c r="EC35" i="30"/>
  <c r="ED35" i="30" s="1"/>
  <c r="EE35" i="30" s="1"/>
  <c r="DR30" i="30"/>
  <c r="EA30" i="30" s="1"/>
  <c r="DF43" i="30"/>
  <c r="CT51" i="30"/>
  <c r="CW51" i="30" s="1"/>
  <c r="CX51" i="30" s="1"/>
  <c r="CY51" i="30" s="1"/>
  <c r="CZ51" i="30" s="1"/>
  <c r="CX13" i="30"/>
  <c r="CY13" i="30" s="1"/>
  <c r="CP51" i="30"/>
  <c r="CO18" i="30"/>
  <c r="BL57" i="30"/>
  <c r="BL42" i="30"/>
  <c r="BG52" i="30"/>
  <c r="BU52" i="30" s="1"/>
  <c r="BG20" i="30"/>
  <c r="BS25" i="30"/>
  <c r="BT25" i="30" s="1"/>
  <c r="BU25" i="30" s="1"/>
  <c r="AR46" i="30"/>
  <c r="AM48" i="30"/>
  <c r="AG36" i="30"/>
  <c r="AG28" i="30"/>
  <c r="AG20" i="30"/>
  <c r="AE52" i="30"/>
  <c r="AG24" i="30"/>
  <c r="EC59" i="30"/>
  <c r="ED59" i="30" s="1"/>
  <c r="EE59" i="30" s="1"/>
  <c r="DG43" i="30"/>
  <c r="DF35" i="30"/>
  <c r="CX31" i="30"/>
  <c r="CY31" i="30" s="1"/>
  <c r="CZ31" i="30" s="1"/>
  <c r="CX50" i="30"/>
  <c r="CY50" i="30" s="1"/>
  <c r="CZ50" i="30" s="1"/>
  <c r="CQ39" i="30"/>
  <c r="CQ43" i="30"/>
  <c r="CV34" i="30"/>
  <c r="CM51" i="30"/>
  <c r="BS43" i="30"/>
  <c r="BT43" i="30" s="1"/>
  <c r="BS13" i="30"/>
  <c r="BT13" i="30" s="1"/>
  <c r="BU13" i="30" s="1"/>
  <c r="BL32" i="30"/>
  <c r="BS50" i="30"/>
  <c r="BT50" i="30" s="1"/>
  <c r="AV30" i="30"/>
  <c r="AR45" i="30"/>
  <c r="AQ13" i="30"/>
  <c r="AM56" i="30"/>
  <c r="AG16" i="30"/>
  <c r="AN56" i="30"/>
  <c r="AO56" i="30" s="1"/>
  <c r="AP56" i="30" s="1"/>
  <c r="DY24" i="30"/>
  <c r="EB24" i="30" s="1"/>
  <c r="EC24" i="30" s="1"/>
  <c r="ED24" i="30" s="1"/>
  <c r="EE24" i="30" s="1"/>
  <c r="DV22" i="30"/>
  <c r="DA43" i="30"/>
  <c r="DC43" i="30" s="1"/>
  <c r="CX29" i="30"/>
  <c r="CY29" i="30" s="1"/>
  <c r="CZ29" i="30" s="1"/>
  <c r="CT59" i="30"/>
  <c r="CW59" i="30" s="1"/>
  <c r="CP27" i="30"/>
  <c r="CM43" i="30"/>
  <c r="CV32" i="30"/>
  <c r="BW31" i="30"/>
  <c r="BJ38" i="30"/>
  <c r="BH45" i="30"/>
  <c r="BQ45" i="30" s="1"/>
  <c r="AN18" i="30"/>
  <c r="AO18" i="30" s="1"/>
  <c r="AE20" i="30"/>
  <c r="AL54" i="30"/>
  <c r="AL44" i="30"/>
  <c r="AL22" i="30"/>
  <c r="BS29" i="30"/>
  <c r="BT29" i="30" s="1"/>
  <c r="BU29" i="30" s="1"/>
  <c r="BX29" i="30" s="1"/>
  <c r="EC49" i="30"/>
  <c r="ED49" i="30" s="1"/>
  <c r="EE49" i="30" s="1"/>
  <c r="DB43" i="30"/>
  <c r="CX28" i="30"/>
  <c r="CY28" i="30" s="1"/>
  <c r="CZ28" i="30" s="1"/>
  <c r="CT19" i="30"/>
  <c r="CW19" i="30" s="1"/>
  <c r="CM35" i="30"/>
  <c r="CX59" i="30"/>
  <c r="CY59" i="30" s="1"/>
  <c r="CZ59" i="30" s="1"/>
  <c r="BS53" i="30"/>
  <c r="BT53" i="30" s="1"/>
  <c r="BU53" i="30" s="1"/>
  <c r="BS37" i="30"/>
  <c r="BT37" i="30" s="1"/>
  <c r="BU37" i="30" s="1"/>
  <c r="AV15" i="30"/>
  <c r="AR30" i="30"/>
  <c r="AC42" i="30"/>
  <c r="AB57" i="30"/>
  <c r="AB49" i="30"/>
  <c r="AB41" i="30"/>
  <c r="AB33" i="30"/>
  <c r="AP33" i="30" s="1"/>
  <c r="AB25" i="30"/>
  <c r="AC25" i="30" s="1"/>
  <c r="AL25" i="30" s="1"/>
  <c r="AB17" i="30"/>
  <c r="AE17" i="30" s="1"/>
  <c r="AN57" i="30"/>
  <c r="AO57" i="30" s="1"/>
  <c r="AP57" i="30" s="1"/>
  <c r="AN48" i="30"/>
  <c r="AO48" i="30" s="1"/>
  <c r="AP48" i="30" s="1"/>
  <c r="AN39" i="30"/>
  <c r="AO39" i="30" s="1"/>
  <c r="AP39" i="30" s="1"/>
  <c r="AC29" i="29"/>
  <c r="AL7" i="29"/>
  <c r="AN34" i="29"/>
  <c r="AO34" i="29" s="1"/>
  <c r="AP34" i="29" s="1"/>
  <c r="AN19" i="29"/>
  <c r="AO19" i="29" s="1"/>
  <c r="AP19" i="29" s="1"/>
  <c r="AN26" i="29"/>
  <c r="AO26" i="29" s="1"/>
  <c r="AP26" i="29" s="1"/>
  <c r="AN42" i="29"/>
  <c r="AO42" i="29" s="1"/>
  <c r="AP42" i="29" s="1"/>
  <c r="AN23" i="29"/>
  <c r="AO23" i="29" s="1"/>
  <c r="AL29" i="29"/>
  <c r="AL47" i="29"/>
  <c r="AL23" i="29"/>
  <c r="AL15" i="29"/>
  <c r="AG32" i="29"/>
  <c r="AN24" i="29"/>
  <c r="AO24" i="29" s="1"/>
  <c r="AP24" i="29" s="1"/>
  <c r="AG43" i="29"/>
  <c r="AG19" i="29"/>
  <c r="S2" i="35" a="1"/>
  <c r="S2" i="35" s="1"/>
  <c r="AE45" i="29"/>
  <c r="AC45" i="29"/>
  <c r="AN29" i="29"/>
  <c r="AO29" i="29" s="1"/>
  <c r="AP29" i="29" s="1"/>
  <c r="AC21" i="29"/>
  <c r="AE21" i="29"/>
  <c r="AC13" i="29"/>
  <c r="AL13" i="29" s="1"/>
  <c r="AE13" i="29"/>
  <c r="AF20" i="29"/>
  <c r="AV20" i="29"/>
  <c r="AR20" i="29"/>
  <c r="AN37" i="29"/>
  <c r="AO37" i="29" s="1"/>
  <c r="AP37" i="29" s="1"/>
  <c r="AD29" i="29"/>
  <c r="AW29" i="29"/>
  <c r="AB16" i="29"/>
  <c r="AC16" i="29" s="1"/>
  <c r="AL16" i="29" s="1"/>
  <c r="AG49" i="35"/>
  <c r="AG41" i="35"/>
  <c r="AG33" i="35"/>
  <c r="AG25" i="35"/>
  <c r="AG17" i="35"/>
  <c r="AG9" i="35"/>
  <c r="AQ12" i="29"/>
  <c r="AJ45" i="29"/>
  <c r="AM45" i="29" s="1"/>
  <c r="AN45" i="29" s="1"/>
  <c r="AO45" i="29" s="1"/>
  <c r="AP45" i="29" s="1"/>
  <c r="AJ13" i="29"/>
  <c r="AM13" i="29" s="1"/>
  <c r="AD28" i="29"/>
  <c r="AN15" i="29"/>
  <c r="AO15" i="29" s="1"/>
  <c r="AP15" i="29" s="1"/>
  <c r="AG48" i="35"/>
  <c r="AG40" i="35"/>
  <c r="AG32" i="35"/>
  <c r="AG24" i="35"/>
  <c r="AG16" i="35"/>
  <c r="AG8" i="35"/>
  <c r="AP23" i="29"/>
  <c r="AG47" i="35"/>
  <c r="AG39" i="35"/>
  <c r="AG31" i="35"/>
  <c r="AG23" i="35"/>
  <c r="AG15" i="35"/>
  <c r="AG7" i="35"/>
  <c r="AJ21" i="29"/>
  <c r="AM21" i="29" s="1"/>
  <c r="AD12" i="29"/>
  <c r="AG46" i="35"/>
  <c r="AG38" i="35"/>
  <c r="AG30" i="35"/>
  <c r="AG22" i="35"/>
  <c r="AG14" i="35"/>
  <c r="AG6" i="35"/>
  <c r="AV12" i="29"/>
  <c r="AG47" i="29"/>
  <c r="AG39" i="29"/>
  <c r="AG31" i="29"/>
  <c r="AG23" i="29"/>
  <c r="AG15" i="29"/>
  <c r="AG45" i="35"/>
  <c r="AG37" i="35"/>
  <c r="AG29" i="35"/>
  <c r="AG21" i="35"/>
  <c r="AG13" i="35"/>
  <c r="AG5" i="35"/>
  <c r="AV46" i="29"/>
  <c r="AQ36" i="29"/>
  <c r="AC37" i="29"/>
  <c r="AG44" i="35"/>
  <c r="AG36" i="35"/>
  <c r="AG28" i="35"/>
  <c r="AG20" i="35"/>
  <c r="AG12" i="35"/>
  <c r="AG4" i="35"/>
  <c r="AG48" i="29"/>
  <c r="AR12" i="29"/>
  <c r="AW36" i="29"/>
  <c r="AR36" i="29"/>
  <c r="AG3" i="35"/>
  <c r="AG43" i="35"/>
  <c r="AG35" i="35"/>
  <c r="AG27" i="35"/>
  <c r="AG19" i="35"/>
  <c r="AG11" i="35"/>
  <c r="AG50" i="35"/>
  <c r="AG42" i="35"/>
  <c r="AG34" i="35"/>
  <c r="AG26" i="35"/>
  <c r="AG18" i="35"/>
  <c r="AG10" i="35"/>
  <c r="BK20" i="34"/>
  <c r="BW20" i="34"/>
  <c r="CA20" i="34"/>
  <c r="BH20" i="34"/>
  <c r="BQ20" i="34" s="1"/>
  <c r="BK49" i="33"/>
  <c r="CB49" i="33"/>
  <c r="CD49" i="33" s="1"/>
  <c r="BW49" i="33"/>
  <c r="AP50" i="33"/>
  <c r="AP18" i="33"/>
  <c r="AE28" i="33"/>
  <c r="AC28" i="33"/>
  <c r="AC12" i="33"/>
  <c r="AE12" i="33"/>
  <c r="BU33" i="33"/>
  <c r="BL44" i="33"/>
  <c r="BR44" i="33"/>
  <c r="BL28" i="33"/>
  <c r="BR28" i="33"/>
  <c r="BS28" i="33" s="1"/>
  <c r="BT28" i="33" s="1"/>
  <c r="BU28" i="33" s="1"/>
  <c r="AC20" i="33"/>
  <c r="AE20" i="33"/>
  <c r="BK22" i="33"/>
  <c r="CC22" i="33" s="1"/>
  <c r="BW22" i="33"/>
  <c r="CB22" i="33"/>
  <c r="AR36" i="33"/>
  <c r="AV36" i="33"/>
  <c r="AF36" i="33"/>
  <c r="BS41" i="33"/>
  <c r="BT41" i="33" s="1"/>
  <c r="BU41" i="33" s="1"/>
  <c r="BU9" i="33"/>
  <c r="AN46" i="33"/>
  <c r="AO46" i="33" s="1"/>
  <c r="AP46" i="33" s="1"/>
  <c r="AF49" i="33"/>
  <c r="AV49" i="33"/>
  <c r="AR49" i="33"/>
  <c r="AF41" i="33"/>
  <c r="AR41" i="33"/>
  <c r="AV41" i="33"/>
  <c r="AF33" i="33"/>
  <c r="AR33" i="33"/>
  <c r="AV33" i="33"/>
  <c r="BH33" i="33"/>
  <c r="BQ33" i="33" s="1"/>
  <c r="BJ33" i="33"/>
  <c r="BK9" i="33"/>
  <c r="BI9" i="33" s="1"/>
  <c r="BW9" i="33"/>
  <c r="BY9" i="33" s="1"/>
  <c r="CB9" i="33"/>
  <c r="CD9" i="33" s="1"/>
  <c r="AC50" i="33"/>
  <c r="AE50" i="33"/>
  <c r="AC42" i="33"/>
  <c r="AE42" i="33"/>
  <c r="AV42" i="33" s="1"/>
  <c r="AC26" i="33"/>
  <c r="AE26" i="33"/>
  <c r="AF26" i="33" s="1"/>
  <c r="AC18" i="33"/>
  <c r="AE18" i="33"/>
  <c r="AE10" i="33"/>
  <c r="AR10" i="33" s="1"/>
  <c r="AT10" i="33" s="1"/>
  <c r="AC10" i="33"/>
  <c r="AC48" i="33"/>
  <c r="AE48" i="33"/>
  <c r="AC32" i="33"/>
  <c r="AE32" i="33"/>
  <c r="AC16" i="33"/>
  <c r="AE16" i="33"/>
  <c r="AF44" i="33"/>
  <c r="AV44" i="33"/>
  <c r="AR44" i="33"/>
  <c r="AG25" i="33"/>
  <c r="AE24" i="33"/>
  <c r="AC44" i="33"/>
  <c r="BL20" i="33"/>
  <c r="AG27" i="33"/>
  <c r="BL11" i="33"/>
  <c r="BH30" i="33"/>
  <c r="BQ30" i="33" s="1"/>
  <c r="BG50" i="33"/>
  <c r="BH50" i="33" s="1"/>
  <c r="BQ50" i="33" s="1"/>
  <c r="BG42" i="33"/>
  <c r="BG34" i="33"/>
  <c r="BG26" i="33"/>
  <c r="BG18" i="33"/>
  <c r="BG10" i="33"/>
  <c r="BH10" i="33" s="1"/>
  <c r="BQ10" i="33" s="1"/>
  <c r="BG48" i="33"/>
  <c r="BH48" i="33" s="1"/>
  <c r="BQ48" i="33" s="1"/>
  <c r="BG40" i="33"/>
  <c r="BJ40" i="33" s="1"/>
  <c r="BG32" i="33"/>
  <c r="BU32" i="33" s="1"/>
  <c r="BG24" i="33"/>
  <c r="BG16" i="33"/>
  <c r="BG8" i="33"/>
  <c r="AP33" i="33"/>
  <c r="AT33" i="33" s="1"/>
  <c r="AG33" i="33"/>
  <c r="AP24" i="33"/>
  <c r="AC36" i="33"/>
  <c r="AN19" i="33"/>
  <c r="AO19" i="33" s="1"/>
  <c r="CB45" i="33"/>
  <c r="CD45" i="33" s="1"/>
  <c r="BL19" i="33"/>
  <c r="BJ25" i="33"/>
  <c r="AG51" i="33"/>
  <c r="AG35" i="33"/>
  <c r="AP32" i="33"/>
  <c r="AN44" i="33"/>
  <c r="AO44" i="33" s="1"/>
  <c r="AP44" i="33" s="1"/>
  <c r="AG11" i="33"/>
  <c r="BW45" i="33"/>
  <c r="BL27" i="33"/>
  <c r="BJ29" i="33"/>
  <c r="BJ46" i="33"/>
  <c r="AP42" i="33"/>
  <c r="AN29" i="33"/>
  <c r="AO29" i="33" s="1"/>
  <c r="AG19" i="33"/>
  <c r="AG49" i="33"/>
  <c r="AP40" i="33"/>
  <c r="AN49" i="33"/>
  <c r="AO49" i="33" s="1"/>
  <c r="AP49" i="33" s="1"/>
  <c r="AN25" i="33"/>
  <c r="AO25" i="33" s="1"/>
  <c r="AP25" i="33" s="1"/>
  <c r="AN9" i="33"/>
  <c r="AO9" i="33" s="1"/>
  <c r="AP9" i="33" s="1"/>
  <c r="AB47" i="33"/>
  <c r="AC47" i="33" s="1"/>
  <c r="BG39" i="33"/>
  <c r="BJ39" i="33" s="1"/>
  <c r="CB39" i="33" s="1"/>
  <c r="CD39" i="33" s="1"/>
  <c r="BG23" i="33"/>
  <c r="BH23" i="33" s="1"/>
  <c r="BQ23" i="33" s="1"/>
  <c r="AB7" i="33"/>
  <c r="AE7" i="33" s="1"/>
  <c r="AF7" i="33" s="1"/>
  <c r="CB17" i="33"/>
  <c r="CD17" i="33" s="1"/>
  <c r="BL39" i="33"/>
  <c r="BL23" i="33"/>
  <c r="BL35" i="33"/>
  <c r="AP41" i="33"/>
  <c r="AT41" i="33" s="1"/>
  <c r="AP48" i="33"/>
  <c r="AB51" i="33"/>
  <c r="AC51" i="33" s="1"/>
  <c r="AB43" i="33"/>
  <c r="AC43" i="33" s="1"/>
  <c r="AB35" i="33"/>
  <c r="AB27" i="33"/>
  <c r="AB19" i="33"/>
  <c r="AB11" i="33"/>
  <c r="BL36" i="33"/>
  <c r="BL43" i="33"/>
  <c r="BL7" i="33"/>
  <c r="BJ21" i="33"/>
  <c r="BW21" i="33" s="1"/>
  <c r="BH41" i="33"/>
  <c r="BQ41" i="33" s="1"/>
  <c r="BH17" i="33"/>
  <c r="BQ17" i="33" s="1"/>
  <c r="AP10" i="33"/>
  <c r="BL51" i="33"/>
  <c r="BH38" i="33"/>
  <c r="BQ38" i="33" s="1"/>
  <c r="BJ14" i="33"/>
  <c r="BG51" i="33"/>
  <c r="BJ51" i="33" s="1"/>
  <c r="BG43" i="33"/>
  <c r="BJ43" i="33" s="1"/>
  <c r="BG35" i="33"/>
  <c r="BG27" i="33"/>
  <c r="BG19" i="33"/>
  <c r="BJ19" i="33" s="1"/>
  <c r="BG11" i="33"/>
  <c r="BS45" i="33"/>
  <c r="BT45" i="33" s="1"/>
  <c r="BU45" i="33" s="1"/>
  <c r="BY45" i="33" s="1"/>
  <c r="BS29" i="33"/>
  <c r="BT29" i="33" s="1"/>
  <c r="BU29" i="33" s="1"/>
  <c r="BS13" i="33"/>
  <c r="BT13" i="33" s="1"/>
  <c r="BU13" i="33" s="1"/>
  <c r="AN37" i="33"/>
  <c r="AO37" i="33" s="1"/>
  <c r="AP37" i="33" s="1"/>
  <c r="AG43" i="33"/>
  <c r="AE8" i="33"/>
  <c r="AN11" i="33"/>
  <c r="AO11" i="33" s="1"/>
  <c r="BS37" i="33"/>
  <c r="BT37" i="33" s="1"/>
  <c r="BU37" i="33" s="1"/>
  <c r="BR21" i="33"/>
  <c r="BS21" i="33" s="1"/>
  <c r="BT21" i="33" s="1"/>
  <c r="BL21" i="33"/>
  <c r="AN8" i="33"/>
  <c r="AO8" i="33" s="1"/>
  <c r="AP8" i="33" s="1"/>
  <c r="AD26" i="33"/>
  <c r="AL26" i="33" s="1"/>
  <c r="AQ26" i="33"/>
  <c r="AW26" i="33"/>
  <c r="AN16" i="33"/>
  <c r="AO16" i="33" s="1"/>
  <c r="AP16" i="33" s="1"/>
  <c r="AT44" i="33"/>
  <c r="AF31" i="33"/>
  <c r="AV31" i="33"/>
  <c r="AR31" i="33"/>
  <c r="AN28" i="33"/>
  <c r="AO28" i="33" s="1"/>
  <c r="AP28" i="33" s="1"/>
  <c r="AT49" i="33"/>
  <c r="AG31" i="33"/>
  <c r="AM31" i="33"/>
  <c r="AN31" i="33" s="1"/>
  <c r="AO31" i="33" s="1"/>
  <c r="AP31" i="33" s="1"/>
  <c r="AG15" i="33"/>
  <c r="AM15" i="33"/>
  <c r="AN15" i="33" s="1"/>
  <c r="AO15" i="33" s="1"/>
  <c r="BR43" i="33"/>
  <c r="BS43" i="33" s="1"/>
  <c r="BT43" i="33" s="1"/>
  <c r="BS15" i="33"/>
  <c r="BT15" i="33" s="1"/>
  <c r="BL48" i="33"/>
  <c r="BL40" i="33"/>
  <c r="BL32" i="33"/>
  <c r="BL24" i="33"/>
  <c r="BL16" i="33"/>
  <c r="BL8" i="33"/>
  <c r="BQ46" i="33"/>
  <c r="BH45" i="33"/>
  <c r="BQ45" i="33" s="1"/>
  <c r="AV26" i="33"/>
  <c r="AR17" i="33"/>
  <c r="AT17" i="33" s="1"/>
  <c r="AQ36" i="33"/>
  <c r="AG44" i="33"/>
  <c r="AE40" i="33"/>
  <c r="AN36" i="33"/>
  <c r="AO36" i="33" s="1"/>
  <c r="AP36" i="33" s="1"/>
  <c r="AN12" i="33"/>
  <c r="AO12" i="33" s="1"/>
  <c r="AP12" i="33" s="1"/>
  <c r="AN27" i="33"/>
  <c r="AO27" i="33" s="1"/>
  <c r="AP27" i="33" s="1"/>
  <c r="BR27" i="33"/>
  <c r="BS27" i="33" s="1"/>
  <c r="BT27" i="33" s="1"/>
  <c r="BU27" i="33" s="1"/>
  <c r="BS12" i="33"/>
  <c r="BT12" i="33" s="1"/>
  <c r="BU12" i="33" s="1"/>
  <c r="BL31" i="33"/>
  <c r="BL15" i="33"/>
  <c r="BL49" i="33"/>
  <c r="BL41" i="33"/>
  <c r="BL33" i="33"/>
  <c r="BL25" i="33"/>
  <c r="BL17" i="33"/>
  <c r="BL9" i="33"/>
  <c r="BJ38" i="33"/>
  <c r="BG15" i="33"/>
  <c r="AG50" i="33"/>
  <c r="AG42" i="33"/>
  <c r="AG34" i="33"/>
  <c r="AG26" i="33"/>
  <c r="AG18" i="33"/>
  <c r="AG10" i="33"/>
  <c r="AB15" i="33"/>
  <c r="AE15" i="33" s="1"/>
  <c r="AN35" i="33"/>
  <c r="AO35" i="33" s="1"/>
  <c r="AP35" i="33" s="1"/>
  <c r="AN26" i="33"/>
  <c r="AO26" i="33" s="1"/>
  <c r="AP26" i="33" s="1"/>
  <c r="BS25" i="33"/>
  <c r="BT25" i="33" s="1"/>
  <c r="BU25" i="33" s="1"/>
  <c r="BR11" i="33"/>
  <c r="BS11" i="33" s="1"/>
  <c r="BT11" i="33" s="1"/>
  <c r="BU11" i="33" s="1"/>
  <c r="BG47" i="33"/>
  <c r="BJ47" i="33" s="1"/>
  <c r="CB47" i="33" s="1"/>
  <c r="CD47" i="33" s="1"/>
  <c r="BG31" i="33"/>
  <c r="AW17" i="33"/>
  <c r="AR26" i="33"/>
  <c r="AG28" i="33"/>
  <c r="AG41" i="33"/>
  <c r="AG17" i="33"/>
  <c r="AG9" i="33"/>
  <c r="AB39" i="33"/>
  <c r="AE39" i="33" s="1"/>
  <c r="AN20" i="33"/>
  <c r="AO20" i="33" s="1"/>
  <c r="AP20" i="33" s="1"/>
  <c r="AN13" i="33"/>
  <c r="AO13" i="33" s="1"/>
  <c r="AP13" i="33" s="1"/>
  <c r="CB41" i="33"/>
  <c r="CD41" i="33" s="1"/>
  <c r="BV41" i="33"/>
  <c r="BX41" i="33" s="1"/>
  <c r="BR51" i="33"/>
  <c r="BS51" i="33" s="1"/>
  <c r="BT51" i="33" s="1"/>
  <c r="BS39" i="33"/>
  <c r="BT39" i="33" s="1"/>
  <c r="BS24" i="33"/>
  <c r="BT24" i="33" s="1"/>
  <c r="BU24" i="33" s="1"/>
  <c r="BL29" i="33"/>
  <c r="BJ15" i="33"/>
  <c r="AQ17" i="33"/>
  <c r="AS17" i="33" s="1"/>
  <c r="AU17" i="33" s="1"/>
  <c r="AG6" i="33"/>
  <c r="AC31" i="33"/>
  <c r="AC15" i="33"/>
  <c r="AN43" i="33"/>
  <c r="AO43" i="33" s="1"/>
  <c r="AP43" i="33" s="1"/>
  <c r="BS31" i="33"/>
  <c r="BT31" i="33" s="1"/>
  <c r="AN45" i="33"/>
  <c r="AO45" i="33" s="1"/>
  <c r="AP45" i="33" s="1"/>
  <c r="CC41" i="33"/>
  <c r="BS49" i="33"/>
  <c r="BT49" i="33" s="1"/>
  <c r="BU49" i="33" s="1"/>
  <c r="BS23" i="33"/>
  <c r="BT23" i="33" s="1"/>
  <c r="BL46" i="33"/>
  <c r="BL38" i="33"/>
  <c r="BL30" i="33"/>
  <c r="BL22" i="33"/>
  <c r="BL14" i="33"/>
  <c r="BL6" i="33"/>
  <c r="BJ30" i="33"/>
  <c r="AG12" i="33"/>
  <c r="AJ47" i="33"/>
  <c r="AJ39" i="33"/>
  <c r="AJ23" i="33"/>
  <c r="AJ7" i="33"/>
  <c r="AB23" i="33"/>
  <c r="AE23" i="33" s="1"/>
  <c r="BW41" i="33"/>
  <c r="BS7" i="33"/>
  <c r="BT7" i="33" s="1"/>
  <c r="BU7" i="33" s="1"/>
  <c r="BG7" i="33"/>
  <c r="BS44" i="33"/>
  <c r="BT44" i="33" s="1"/>
  <c r="BU44" i="33" s="1"/>
  <c r="AG36" i="33"/>
  <c r="AN51" i="33"/>
  <c r="AO51" i="33" s="1"/>
  <c r="BS47" i="33"/>
  <c r="BT47" i="33" s="1"/>
  <c r="BJ12" i="33"/>
  <c r="BW12" i="33" s="1"/>
  <c r="AV17" i="33"/>
  <c r="AN38" i="33"/>
  <c r="AO38" i="33" s="1"/>
  <c r="AP38" i="33" s="1"/>
  <c r="AN30" i="33"/>
  <c r="AO30" i="33" s="1"/>
  <c r="AP30" i="33" s="1"/>
  <c r="AN22" i="33"/>
  <c r="AO22" i="33" s="1"/>
  <c r="AP22" i="33" s="1"/>
  <c r="AN14" i="33"/>
  <c r="AO14" i="33" s="1"/>
  <c r="AP14" i="33" s="1"/>
  <c r="AN6" i="33"/>
  <c r="AO6" i="33" s="1"/>
  <c r="AP6" i="33" s="1"/>
  <c r="AG45" i="33"/>
  <c r="AG37" i="33"/>
  <c r="AG29" i="33"/>
  <c r="AG21" i="33"/>
  <c r="AG13" i="33"/>
  <c r="BL46" i="34"/>
  <c r="BR46" i="34"/>
  <c r="BS46" i="34" s="1"/>
  <c r="BT46" i="34" s="1"/>
  <c r="BL30" i="34"/>
  <c r="BR30" i="34"/>
  <c r="BS30" i="34" s="1"/>
  <c r="BT30" i="34" s="1"/>
  <c r="BU30" i="34" s="1"/>
  <c r="BL22" i="34"/>
  <c r="BR22" i="34"/>
  <c r="BS22" i="34" s="1"/>
  <c r="BT22" i="34" s="1"/>
  <c r="BL14" i="34"/>
  <c r="BR14" i="34"/>
  <c r="BS14" i="34" s="1"/>
  <c r="BT14" i="34" s="1"/>
  <c r="BL6" i="34"/>
  <c r="BR6" i="34"/>
  <c r="BS6" i="34" s="1"/>
  <c r="BT6" i="34" s="1"/>
  <c r="BS39" i="34"/>
  <c r="BT39" i="34" s="1"/>
  <c r="BL38" i="34"/>
  <c r="BR38" i="34"/>
  <c r="BS38" i="34" s="1"/>
  <c r="BT38" i="34" s="1"/>
  <c r="BS47" i="34"/>
  <c r="BT47" i="34" s="1"/>
  <c r="BK12" i="34"/>
  <c r="CB12" i="34" s="1"/>
  <c r="CA12" i="34"/>
  <c r="BW12" i="34"/>
  <c r="CD36" i="34"/>
  <c r="BK36" i="34"/>
  <c r="BV36" i="34" s="1"/>
  <c r="BX36" i="34" s="1"/>
  <c r="BZ36" i="34" s="1"/>
  <c r="CA36" i="34"/>
  <c r="BW36" i="34"/>
  <c r="BY36" i="34" s="1"/>
  <c r="BS25" i="34"/>
  <c r="BT25" i="34" s="1"/>
  <c r="BL41" i="34"/>
  <c r="BL32" i="34"/>
  <c r="BL24" i="34"/>
  <c r="BL16" i="34"/>
  <c r="BL8" i="34"/>
  <c r="BL9" i="34"/>
  <c r="AG40" i="34"/>
  <c r="AM40" i="34"/>
  <c r="AN40" i="34" s="1"/>
  <c r="AO40" i="34" s="1"/>
  <c r="AP40" i="34" s="1"/>
  <c r="AG24" i="34"/>
  <c r="AM24" i="34"/>
  <c r="AN24" i="34" s="1"/>
  <c r="AO24" i="34" s="1"/>
  <c r="AP24" i="34" s="1"/>
  <c r="AT24" i="34" s="1"/>
  <c r="AU24" i="34" s="1"/>
  <c r="AG8" i="34"/>
  <c r="AC6" i="34"/>
  <c r="AE6" i="34"/>
  <c r="AG46" i="34"/>
  <c r="AC38" i="34"/>
  <c r="AE38" i="34"/>
  <c r="AG30" i="34"/>
  <c r="AG22" i="34"/>
  <c r="AM22" i="34"/>
  <c r="AN22" i="34" s="1"/>
  <c r="AO22" i="34" s="1"/>
  <c r="AP22" i="34" s="1"/>
  <c r="AE14" i="34"/>
  <c r="AC14" i="34"/>
  <c r="AG6" i="34"/>
  <c r="AM6" i="34"/>
  <c r="BR33" i="34"/>
  <c r="BS33" i="34" s="1"/>
  <c r="BT33" i="34" s="1"/>
  <c r="BO48" i="34"/>
  <c r="AG39" i="34"/>
  <c r="AG23" i="34"/>
  <c r="AM23" i="34"/>
  <c r="AN23" i="34" s="1"/>
  <c r="AO23" i="34" s="1"/>
  <c r="AP23" i="34" s="1"/>
  <c r="AT23" i="34" s="1"/>
  <c r="AU23" i="34" s="1"/>
  <c r="AG7" i="34"/>
  <c r="AM7" i="34"/>
  <c r="AN7" i="34" s="1"/>
  <c r="AO7" i="34" s="1"/>
  <c r="AP7" i="34" s="1"/>
  <c r="AT7" i="34" s="1"/>
  <c r="AF48" i="34"/>
  <c r="AQ48" i="34" s="1"/>
  <c r="AR40" i="34"/>
  <c r="AV40" i="34"/>
  <c r="AF40" i="34"/>
  <c r="AW40" i="34" s="1"/>
  <c r="AG50" i="34"/>
  <c r="AM50" i="34"/>
  <c r="AN50" i="34" s="1"/>
  <c r="AO50" i="34" s="1"/>
  <c r="AP50" i="34" s="1"/>
  <c r="AG34" i="34"/>
  <c r="AM34" i="34"/>
  <c r="AN34" i="34" s="1"/>
  <c r="AO34" i="34" s="1"/>
  <c r="BR49" i="34"/>
  <c r="BS49" i="34" s="1"/>
  <c r="BT49" i="34" s="1"/>
  <c r="BQ44" i="34"/>
  <c r="BQ12" i="34"/>
  <c r="AR48" i="34"/>
  <c r="AM8" i="34"/>
  <c r="AN8" i="34" s="1"/>
  <c r="AO8" i="34" s="1"/>
  <c r="AP8" i="34" s="1"/>
  <c r="AG33" i="34"/>
  <c r="AM33" i="34"/>
  <c r="AN33" i="34" s="1"/>
  <c r="AO33" i="34" s="1"/>
  <c r="AP33" i="34" s="1"/>
  <c r="AG17" i="34"/>
  <c r="AF15" i="34"/>
  <c r="AW15" i="34" s="1"/>
  <c r="AR15" i="34"/>
  <c r="AV15" i="34"/>
  <c r="AR20" i="34"/>
  <c r="BJ11" i="34"/>
  <c r="BW11" i="34" s="1"/>
  <c r="AM39" i="34"/>
  <c r="AN39" i="34" s="1"/>
  <c r="AO39" i="34" s="1"/>
  <c r="AP39" i="34" s="1"/>
  <c r="AG48" i="34"/>
  <c r="AG32" i="34"/>
  <c r="AM32" i="34"/>
  <c r="AN32" i="34" s="1"/>
  <c r="AO32" i="34" s="1"/>
  <c r="AP32" i="34" s="1"/>
  <c r="AG16" i="34"/>
  <c r="AM16" i="34"/>
  <c r="AN16" i="34" s="1"/>
  <c r="AO16" i="34" s="1"/>
  <c r="AP16" i="34" s="1"/>
  <c r="CB28" i="34"/>
  <c r="BJ44" i="34"/>
  <c r="AT22" i="34"/>
  <c r="AU22" i="34" s="1"/>
  <c r="AG31" i="34"/>
  <c r="AM31" i="34"/>
  <c r="AN31" i="34" s="1"/>
  <c r="AO31" i="34" s="1"/>
  <c r="AP31" i="34" s="1"/>
  <c r="AG15" i="34"/>
  <c r="AM15" i="34"/>
  <c r="AN15" i="34" s="1"/>
  <c r="AO15" i="34" s="1"/>
  <c r="AP15" i="34" s="1"/>
  <c r="AT15" i="34" s="1"/>
  <c r="AU15" i="34" s="1"/>
  <c r="AF31" i="34"/>
  <c r="AW31" i="34" s="1"/>
  <c r="AR31" i="34"/>
  <c r="AV31" i="34"/>
  <c r="AF16" i="34"/>
  <c r="AD16" i="34" s="1"/>
  <c r="AR16" i="34"/>
  <c r="AV16" i="34"/>
  <c r="AD12" i="34"/>
  <c r="AW12" i="34"/>
  <c r="BW28" i="34"/>
  <c r="BV28" i="34"/>
  <c r="BR35" i="34"/>
  <c r="BS35" i="34" s="1"/>
  <c r="BT35" i="34" s="1"/>
  <c r="BU35" i="34" s="1"/>
  <c r="BL35" i="34"/>
  <c r="BH36" i="34"/>
  <c r="BG46" i="34"/>
  <c r="BG38" i="34"/>
  <c r="BH38" i="34" s="1"/>
  <c r="BQ38" i="34" s="1"/>
  <c r="BG30" i="34"/>
  <c r="BG22" i="34"/>
  <c r="BG14" i="34"/>
  <c r="BG6" i="34"/>
  <c r="BJ6" i="34" s="1"/>
  <c r="AM18" i="34"/>
  <c r="AN18" i="34" s="1"/>
  <c r="AO18" i="34" s="1"/>
  <c r="AG42" i="34"/>
  <c r="AM42" i="34"/>
  <c r="AN42" i="34" s="1"/>
  <c r="AO42" i="34" s="1"/>
  <c r="AG26" i="34"/>
  <c r="AG10" i="34"/>
  <c r="AQ22" i="34"/>
  <c r="AW22" i="34"/>
  <c r="AD22" i="34"/>
  <c r="AR30" i="34"/>
  <c r="AT30" i="34" s="1"/>
  <c r="AU30" i="34" s="1"/>
  <c r="AV30" i="34"/>
  <c r="AF30" i="34"/>
  <c r="AQ8" i="34"/>
  <c r="AW8" i="34"/>
  <c r="BL40" i="34"/>
  <c r="BR41" i="34"/>
  <c r="BS41" i="34" s="1"/>
  <c r="BT41" i="34" s="1"/>
  <c r="AQ46" i="34"/>
  <c r="AW46" i="34"/>
  <c r="AD46" i="34"/>
  <c r="BR17" i="34"/>
  <c r="BS17" i="34" s="1"/>
  <c r="BT17" i="34" s="1"/>
  <c r="AV12" i="34"/>
  <c r="CD12" i="34" s="1"/>
  <c r="AM41" i="34"/>
  <c r="AN41" i="34" s="1"/>
  <c r="AO41" i="34" s="1"/>
  <c r="AP41" i="34" s="1"/>
  <c r="AG41" i="34"/>
  <c r="AG25" i="34"/>
  <c r="AM25" i="34"/>
  <c r="AN25" i="34" s="1"/>
  <c r="AO25" i="34" s="1"/>
  <c r="AP25" i="34" s="1"/>
  <c r="AG9" i="34"/>
  <c r="AL38" i="34"/>
  <c r="AL22" i="34"/>
  <c r="AJ38" i="34"/>
  <c r="AJ14" i="34"/>
  <c r="AC7" i="34"/>
  <c r="AL7" i="34" s="1"/>
  <c r="AB29" i="34"/>
  <c r="AP29" i="34" s="1"/>
  <c r="BL21" i="34"/>
  <c r="BL13" i="34"/>
  <c r="BG49" i="34"/>
  <c r="BG41" i="34"/>
  <c r="BG33" i="34"/>
  <c r="BG25" i="34"/>
  <c r="BJ25" i="34" s="1"/>
  <c r="BG17" i="34"/>
  <c r="BJ17" i="34" s="1"/>
  <c r="BG9" i="34"/>
  <c r="BU9" i="34" s="1"/>
  <c r="BG40" i="34"/>
  <c r="BG32" i="34"/>
  <c r="BU32" i="34" s="1"/>
  <c r="BG24" i="34"/>
  <c r="BU24" i="34" s="1"/>
  <c r="BG16" i="34"/>
  <c r="BU16" i="34" s="1"/>
  <c r="AW36" i="34"/>
  <c r="AV44" i="34"/>
  <c r="AR44" i="34"/>
  <c r="AJ37" i="34"/>
  <c r="AM37" i="34" s="1"/>
  <c r="AN37" i="34" s="1"/>
  <c r="AO37" i="34" s="1"/>
  <c r="AP37" i="34" s="1"/>
  <c r="AJ13" i="34"/>
  <c r="AM13" i="34" s="1"/>
  <c r="AN13" i="34" s="1"/>
  <c r="AO13" i="34" s="1"/>
  <c r="AP13" i="34" s="1"/>
  <c r="AB28" i="34"/>
  <c r="AE28" i="34" s="1"/>
  <c r="BL36" i="34"/>
  <c r="BL28" i="34"/>
  <c r="BL12" i="34"/>
  <c r="AJ12" i="34"/>
  <c r="BG47" i="34"/>
  <c r="BJ47" i="34" s="1"/>
  <c r="BG39" i="34"/>
  <c r="BJ39" i="34" s="1"/>
  <c r="BG31" i="34"/>
  <c r="BG23" i="34"/>
  <c r="BG15" i="34"/>
  <c r="BG7" i="34"/>
  <c r="BU7" i="34" s="1"/>
  <c r="AJ51" i="34"/>
  <c r="AM51" i="34" s="1"/>
  <c r="AN51" i="34" s="1"/>
  <c r="AO51" i="34" s="1"/>
  <c r="AP51" i="34" s="1"/>
  <c r="AJ43" i="34"/>
  <c r="AM43" i="34" s="1"/>
  <c r="AN43" i="34" s="1"/>
  <c r="AO43" i="34" s="1"/>
  <c r="AP43" i="34" s="1"/>
  <c r="AJ35" i="34"/>
  <c r="AM35" i="34" s="1"/>
  <c r="AN35" i="34" s="1"/>
  <c r="AO35" i="34" s="1"/>
  <c r="AP35" i="34" s="1"/>
  <c r="AJ27" i="34"/>
  <c r="AM27" i="34" s="1"/>
  <c r="AN27" i="34" s="1"/>
  <c r="AO27" i="34" s="1"/>
  <c r="AP27" i="34" s="1"/>
  <c r="AJ19" i="34"/>
  <c r="AM19" i="34" s="1"/>
  <c r="AN19" i="34" s="1"/>
  <c r="AO19" i="34" s="1"/>
  <c r="AP19" i="34" s="1"/>
  <c r="AJ11" i="34"/>
  <c r="AM11" i="34" s="1"/>
  <c r="AN11" i="34" s="1"/>
  <c r="AO11" i="34" s="1"/>
  <c r="AP11" i="34" s="1"/>
  <c r="DS14" i="30"/>
  <c r="EF14" i="30"/>
  <c r="AD37" i="30"/>
  <c r="AQ37" i="30"/>
  <c r="AW37" i="30"/>
  <c r="DR17" i="30"/>
  <c r="DT17" i="30"/>
  <c r="DU17" i="30" s="1"/>
  <c r="EF17" i="30" s="1"/>
  <c r="AD36" i="30"/>
  <c r="AQ36" i="30"/>
  <c r="AW36" i="30"/>
  <c r="AF31" i="30"/>
  <c r="AR31" i="30"/>
  <c r="AT31" i="30" s="1"/>
  <c r="AV31" i="30"/>
  <c r="AR21" i="30"/>
  <c r="AV21" i="30"/>
  <c r="AF21" i="30"/>
  <c r="AD45" i="30"/>
  <c r="AQ45" i="30"/>
  <c r="AW45" i="30"/>
  <c r="CQ34" i="30"/>
  <c r="AN41" i="30"/>
  <c r="AO41" i="30" s="1"/>
  <c r="AP41" i="30" s="1"/>
  <c r="EA16" i="30"/>
  <c r="CQ56" i="30"/>
  <c r="CQ18" i="30"/>
  <c r="CX56" i="30"/>
  <c r="CY56" i="30" s="1"/>
  <c r="CZ56" i="30" s="1"/>
  <c r="BS42" i="30"/>
  <c r="BT42" i="30" s="1"/>
  <c r="BH29" i="30"/>
  <c r="BQ29" i="30" s="1"/>
  <c r="AN37" i="30"/>
  <c r="AO37" i="30" s="1"/>
  <c r="AP37" i="30" s="1"/>
  <c r="AN44" i="30"/>
  <c r="AO44" i="30" s="1"/>
  <c r="AP44" i="30" s="1"/>
  <c r="DV38" i="30"/>
  <c r="BS57" i="30"/>
  <c r="BT57" i="30" s="1"/>
  <c r="BS39" i="30"/>
  <c r="BT39" i="30" s="1"/>
  <c r="BU39" i="30" s="1"/>
  <c r="BQ23" i="30"/>
  <c r="AG55" i="30"/>
  <c r="AG47" i="30"/>
  <c r="AG23" i="30"/>
  <c r="AG15" i="30"/>
  <c r="AN52" i="30"/>
  <c r="AO52" i="30" s="1"/>
  <c r="AP52" i="30" s="1"/>
  <c r="DV16" i="30"/>
  <c r="DV45" i="30"/>
  <c r="DV17" i="30"/>
  <c r="DV56" i="30"/>
  <c r="DV40" i="30"/>
  <c r="DV32" i="30"/>
  <c r="DR14" i="30"/>
  <c r="EA14" i="30" s="1"/>
  <c r="CO32" i="30"/>
  <c r="CP32" i="30" s="1"/>
  <c r="BL56" i="30"/>
  <c r="BL47" i="30"/>
  <c r="BL29" i="30"/>
  <c r="BQ14" i="30"/>
  <c r="AG54" i="30"/>
  <c r="AG46" i="30"/>
  <c r="AG38" i="30"/>
  <c r="AG30" i="30"/>
  <c r="AG22" i="30"/>
  <c r="AG14" i="30"/>
  <c r="AE53" i="30"/>
  <c r="AN45" i="30"/>
  <c r="AO45" i="30" s="1"/>
  <c r="AP45" i="30" s="1"/>
  <c r="AN13" i="30"/>
  <c r="AO13" i="30" s="1"/>
  <c r="AP13" i="30" s="1"/>
  <c r="EC43" i="30"/>
  <c r="ED43" i="30" s="1"/>
  <c r="EE43" i="30" s="1"/>
  <c r="EC57" i="30"/>
  <c r="ED57" i="30" s="1"/>
  <c r="EE57" i="30" s="1"/>
  <c r="CW18" i="30"/>
  <c r="CX18" i="30" s="1"/>
  <c r="CY18" i="30" s="1"/>
  <c r="CZ18" i="30" s="1"/>
  <c r="CQ32" i="30"/>
  <c r="CQ55" i="30"/>
  <c r="CV23" i="30"/>
  <c r="BS34" i="30"/>
  <c r="BT34" i="30" s="1"/>
  <c r="BS18" i="30"/>
  <c r="BT18" i="30" s="1"/>
  <c r="AG53" i="30"/>
  <c r="AG45" i="30"/>
  <c r="AG37" i="30"/>
  <c r="AG29" i="30"/>
  <c r="AG21" i="30"/>
  <c r="AG13" i="30"/>
  <c r="EC58" i="30"/>
  <c r="ED58" i="30" s="1"/>
  <c r="EC42" i="30"/>
  <c r="ED42" i="30" s="1"/>
  <c r="DV46" i="30"/>
  <c r="EC51" i="30"/>
  <c r="ED51" i="30" s="1"/>
  <c r="EE51" i="30" s="1"/>
  <c r="DV33" i="30"/>
  <c r="CW32" i="30"/>
  <c r="CX32" i="30" s="1"/>
  <c r="CY32" i="30" s="1"/>
  <c r="CZ32" i="30" s="1"/>
  <c r="CX24" i="30"/>
  <c r="CY24" i="30" s="1"/>
  <c r="CZ24" i="30" s="1"/>
  <c r="BL17" i="30"/>
  <c r="AG44" i="30"/>
  <c r="AC21" i="30"/>
  <c r="AN53" i="30"/>
  <c r="AO53" i="30" s="1"/>
  <c r="AP53" i="30" s="1"/>
  <c r="AN21" i="30"/>
  <c r="AO21" i="30" s="1"/>
  <c r="AP21" i="30" s="1"/>
  <c r="DV41" i="30"/>
  <c r="DV14" i="30"/>
  <c r="DV51" i="30"/>
  <c r="CX48" i="30"/>
  <c r="CY48" i="30" s="1"/>
  <c r="CZ48" i="30" s="1"/>
  <c r="CQ50" i="30"/>
  <c r="CQ51" i="30"/>
  <c r="CQ27" i="30"/>
  <c r="CQ19" i="30"/>
  <c r="CV42" i="30"/>
  <c r="CV26" i="30"/>
  <c r="CM53" i="30"/>
  <c r="CV53" i="30" s="1"/>
  <c r="CX43" i="30"/>
  <c r="CY43" i="30" s="1"/>
  <c r="CZ43" i="30" s="1"/>
  <c r="BX54" i="30"/>
  <c r="BS32" i="30"/>
  <c r="BT32" i="30" s="1"/>
  <c r="AL50" i="30"/>
  <c r="AL42" i="30"/>
  <c r="AL34" i="30"/>
  <c r="AL26" i="30"/>
  <c r="AN20" i="30"/>
  <c r="AO20" i="30" s="1"/>
  <c r="AP20" i="30" s="1"/>
  <c r="EG33" i="30"/>
  <c r="DV43" i="30"/>
  <c r="CO45" i="30"/>
  <c r="DB45" i="30" s="1"/>
  <c r="CX19" i="30"/>
  <c r="CY19" i="30" s="1"/>
  <c r="CZ19" i="30" s="1"/>
  <c r="BS15" i="30"/>
  <c r="BT15" i="30" s="1"/>
  <c r="BU15" i="30" s="1"/>
  <c r="BY15" i="30" s="1"/>
  <c r="AT47" i="30"/>
  <c r="AU47" i="30" s="1"/>
  <c r="AC31" i="30"/>
  <c r="AL31" i="30" s="1"/>
  <c r="AN29" i="30"/>
  <c r="AO29" i="30" s="1"/>
  <c r="AP29" i="30" s="1"/>
  <c r="AN28" i="30"/>
  <c r="AO28" i="30" s="1"/>
  <c r="AP28" i="30" s="1"/>
  <c r="AS28" i="30" s="1"/>
  <c r="DV57" i="30"/>
  <c r="CQ15" i="30"/>
  <c r="CO42" i="30"/>
  <c r="CM48" i="30"/>
  <c r="BS56" i="30"/>
  <c r="BT56" i="30" s="1"/>
  <c r="BU56" i="30" s="1"/>
  <c r="BS26" i="30"/>
  <c r="BT26" i="30" s="1"/>
  <c r="BL50" i="30"/>
  <c r="BL23" i="30"/>
  <c r="BL53" i="30"/>
  <c r="BL58" i="30"/>
  <c r="AT23" i="30"/>
  <c r="AU23" i="30" s="1"/>
  <c r="AT39" i="30"/>
  <c r="AU39" i="30" s="1"/>
  <c r="AG57" i="30"/>
  <c r="AG49" i="30"/>
  <c r="AG41" i="30"/>
  <c r="AG33" i="30"/>
  <c r="AG25" i="30"/>
  <c r="AG17" i="30"/>
  <c r="AN36" i="30"/>
  <c r="AO36" i="30" s="1"/>
  <c r="AP36" i="30" s="1"/>
  <c r="AT36" i="30" s="1"/>
  <c r="AU36" i="30" s="1"/>
  <c r="AG38" i="29"/>
  <c r="AM38" i="29"/>
  <c r="AN38" i="29" s="1"/>
  <c r="AO38" i="29" s="1"/>
  <c r="AG30" i="29"/>
  <c r="AM30" i="29"/>
  <c r="AN30" i="29" s="1"/>
  <c r="AO30" i="29" s="1"/>
  <c r="AV6" i="29"/>
  <c r="AR6" i="29"/>
  <c r="AF6" i="29"/>
  <c r="AR22" i="29"/>
  <c r="AV22" i="29"/>
  <c r="AF22" i="29"/>
  <c r="AQ22" i="29" s="1"/>
  <c r="AN31" i="29"/>
  <c r="AO31" i="29" s="1"/>
  <c r="AP31" i="29" s="1"/>
  <c r="AG14" i="29"/>
  <c r="AM14" i="29"/>
  <c r="AN14" i="29" s="1"/>
  <c r="AO14" i="29" s="1"/>
  <c r="AP14" i="29" s="1"/>
  <c r="AN7" i="29"/>
  <c r="AO7" i="29" s="1"/>
  <c r="AP7" i="29" s="1"/>
  <c r="AG46" i="29"/>
  <c r="AM46" i="29"/>
  <c r="AN48" i="29"/>
  <c r="AO48" i="29" s="1"/>
  <c r="AP48" i="29" s="1"/>
  <c r="AG16" i="29"/>
  <c r="AG7" i="29"/>
  <c r="AL37" i="29"/>
  <c r="AN46" i="29"/>
  <c r="AO46" i="29" s="1"/>
  <c r="AP46" i="29" s="1"/>
  <c r="AR14" i="29"/>
  <c r="AQ29" i="29"/>
  <c r="AN47" i="29"/>
  <c r="AO47" i="29" s="1"/>
  <c r="AP47" i="29" s="1"/>
  <c r="AG24" i="29"/>
  <c r="AJ6" i="29"/>
  <c r="AE15" i="29"/>
  <c r="AL35" i="29"/>
  <c r="AN35" i="29"/>
  <c r="AO35" i="29" s="1"/>
  <c r="AP35" i="29" s="1"/>
  <c r="AN13" i="29"/>
  <c r="AO13" i="29" s="1"/>
  <c r="AP13" i="29" s="1"/>
  <c r="AN16" i="29"/>
  <c r="AO16" i="29" s="1"/>
  <c r="AN43" i="29"/>
  <c r="AO43" i="29" s="1"/>
  <c r="AP43" i="29" s="1"/>
  <c r="AN39" i="29"/>
  <c r="AO39" i="29" s="1"/>
  <c r="AP39" i="29" s="1"/>
  <c r="AV14" i="29"/>
  <c r="AR29" i="29"/>
  <c r="AT29" i="29" s="1"/>
  <c r="AU29" i="29" s="1"/>
  <c r="AG50" i="29"/>
  <c r="AG40" i="29"/>
  <c r="AJ22" i="29"/>
  <c r="AG13" i="29"/>
  <c r="AG51" i="29"/>
  <c r="AG35" i="29"/>
  <c r="AG27" i="29"/>
  <c r="AG11" i="29"/>
  <c r="AB38" i="29"/>
  <c r="AE38" i="29" s="1"/>
  <c r="AB30" i="29"/>
  <c r="AE30" i="29" s="1"/>
  <c r="AM32" i="29"/>
  <c r="AN32" i="29" s="1"/>
  <c r="AO32" i="29" s="1"/>
  <c r="AP32" i="29" s="1"/>
  <c r="AM8" i="29"/>
  <c r="AN8" i="29" s="1"/>
  <c r="AO8" i="29" s="1"/>
  <c r="AP8" i="29" s="1"/>
  <c r="AV29" i="29"/>
  <c r="AR46" i="29"/>
  <c r="AM40" i="29"/>
  <c r="AN40" i="29" s="1"/>
  <c r="AO40" i="29" s="1"/>
  <c r="AP40" i="29" s="1"/>
  <c r="AE31" i="29"/>
  <c r="BU8" i="33"/>
  <c r="BV45" i="33"/>
  <c r="CC45" i="33"/>
  <c r="BI45" i="33"/>
  <c r="BH6" i="33"/>
  <c r="BQ6" i="33" s="1"/>
  <c r="BJ6" i="33"/>
  <c r="BK12" i="33"/>
  <c r="BH42" i="33"/>
  <c r="BQ42" i="33" s="1"/>
  <c r="BJ42" i="33"/>
  <c r="BJ34" i="33"/>
  <c r="BH34" i="33"/>
  <c r="BQ34" i="33" s="1"/>
  <c r="BH26" i="33"/>
  <c r="BQ26" i="33" s="1"/>
  <c r="BJ26" i="33"/>
  <c r="BH18" i="33"/>
  <c r="BQ18" i="33" s="1"/>
  <c r="BJ18" i="33"/>
  <c r="BJ48" i="33"/>
  <c r="BJ24" i="33"/>
  <c r="BH24" i="33"/>
  <c r="BQ24" i="33" s="1"/>
  <c r="BJ16" i="33"/>
  <c r="BH16" i="33"/>
  <c r="BQ16" i="33" s="1"/>
  <c r="BJ8" i="33"/>
  <c r="BH8" i="33"/>
  <c r="BQ8" i="33" s="1"/>
  <c r="CD22" i="33"/>
  <c r="BI17" i="33"/>
  <c r="BV17" i="33"/>
  <c r="BX17" i="33" s="1"/>
  <c r="CC17" i="33"/>
  <c r="BH28" i="33"/>
  <c r="BQ28" i="33" s="1"/>
  <c r="BR35" i="33"/>
  <c r="BS35" i="33" s="1"/>
  <c r="BT35" i="33" s="1"/>
  <c r="BU35" i="33" s="1"/>
  <c r="BL45" i="33"/>
  <c r="BY41" i="33"/>
  <c r="BZ41" i="33" s="1"/>
  <c r="BW38" i="33"/>
  <c r="BR19" i="33"/>
  <c r="BS19" i="33" s="1"/>
  <c r="BT19" i="33" s="1"/>
  <c r="BU19" i="33" s="1"/>
  <c r="BQ14" i="33"/>
  <c r="BK25" i="33"/>
  <c r="BJ36" i="33"/>
  <c r="BH20" i="33"/>
  <c r="BQ20" i="33" s="1"/>
  <c r="BJ20" i="33"/>
  <c r="BW17" i="33"/>
  <c r="BY17" i="33" s="1"/>
  <c r="BZ17" i="33" s="1"/>
  <c r="BL37" i="33"/>
  <c r="BJ28" i="33"/>
  <c r="BS16" i="33"/>
  <c r="BT16" i="33" s="1"/>
  <c r="BU16" i="33" s="1"/>
  <c r="BL13" i="33"/>
  <c r="BI22" i="33"/>
  <c r="BV22" i="33"/>
  <c r="BS40" i="33"/>
  <c r="BT40" i="33" s="1"/>
  <c r="BK39" i="33"/>
  <c r="BW39" i="33"/>
  <c r="BR50" i="33"/>
  <c r="BS50" i="33" s="1"/>
  <c r="BT50" i="33" s="1"/>
  <c r="BL50" i="33"/>
  <c r="BR42" i="33"/>
  <c r="BS42" i="33" s="1"/>
  <c r="BT42" i="33" s="1"/>
  <c r="BU42" i="33" s="1"/>
  <c r="BL42" i="33"/>
  <c r="BR34" i="33"/>
  <c r="BS34" i="33" s="1"/>
  <c r="BT34" i="33" s="1"/>
  <c r="BU34" i="33" s="1"/>
  <c r="BL34" i="33"/>
  <c r="BR26" i="33"/>
  <c r="BS26" i="33" s="1"/>
  <c r="BT26" i="33" s="1"/>
  <c r="BU26" i="33" s="1"/>
  <c r="BL26" i="33"/>
  <c r="BR18" i="33"/>
  <c r="BS18" i="33" s="1"/>
  <c r="BT18" i="33" s="1"/>
  <c r="BU18" i="33" s="1"/>
  <c r="BL18" i="33"/>
  <c r="BR10" i="33"/>
  <c r="BS10" i="33" s="1"/>
  <c r="BT10" i="33" s="1"/>
  <c r="BU10" i="33" s="1"/>
  <c r="BL10" i="33"/>
  <c r="BH44" i="33"/>
  <c r="BQ44" i="33" s="1"/>
  <c r="BJ44" i="33"/>
  <c r="BJ37" i="33"/>
  <c r="BH9" i="33"/>
  <c r="BQ9" i="33" s="1"/>
  <c r="BR46" i="33"/>
  <c r="BS46" i="33" s="1"/>
  <c r="BT46" i="33" s="1"/>
  <c r="BU46" i="33" s="1"/>
  <c r="BR38" i="33"/>
  <c r="BS38" i="33" s="1"/>
  <c r="BT38" i="33" s="1"/>
  <c r="BU38" i="33" s="1"/>
  <c r="BR30" i="33"/>
  <c r="BS30" i="33" s="1"/>
  <c r="BT30" i="33" s="1"/>
  <c r="BU30" i="33" s="1"/>
  <c r="BR22" i="33"/>
  <c r="BS22" i="33" s="1"/>
  <c r="BT22" i="33" s="1"/>
  <c r="BU22" i="33" s="1"/>
  <c r="BR14" i="33"/>
  <c r="BS14" i="33" s="1"/>
  <c r="BT14" i="33" s="1"/>
  <c r="BU14" i="33" s="1"/>
  <c r="BR6" i="33"/>
  <c r="BS6" i="33" s="1"/>
  <c r="BT6" i="33" s="1"/>
  <c r="BU6" i="33" s="1"/>
  <c r="BH19" i="33"/>
  <c r="BQ19" i="33" s="1"/>
  <c r="BH15" i="33"/>
  <c r="BQ15" i="33" s="1"/>
  <c r="AT25" i="33"/>
  <c r="AS25" i="33"/>
  <c r="AU25" i="33" s="1"/>
  <c r="BJ13" i="33"/>
  <c r="BH39" i="33"/>
  <c r="BQ39" i="33" s="1"/>
  <c r="BH12" i="33"/>
  <c r="BQ12" i="33" s="1"/>
  <c r="BH36" i="33"/>
  <c r="BQ36" i="33" s="1"/>
  <c r="AE46" i="33"/>
  <c r="AC46" i="33"/>
  <c r="AE38" i="33"/>
  <c r="AC38" i="33"/>
  <c r="AE30" i="33"/>
  <c r="AC30" i="33"/>
  <c r="AE22" i="33"/>
  <c r="AC22" i="33"/>
  <c r="AE14" i="33"/>
  <c r="AC14" i="33"/>
  <c r="AE6" i="33"/>
  <c r="AC6" i="33"/>
  <c r="AG48" i="33"/>
  <c r="AG40" i="33"/>
  <c r="AG32" i="33"/>
  <c r="AG24" i="33"/>
  <c r="AG16" i="33"/>
  <c r="AG8" i="33"/>
  <c r="AC45" i="33"/>
  <c r="AE45" i="33"/>
  <c r="AC37" i="33"/>
  <c r="AE37" i="33"/>
  <c r="AC21" i="33"/>
  <c r="AE21" i="33"/>
  <c r="AC13" i="33"/>
  <c r="AE13" i="33"/>
  <c r="AE43" i="33"/>
  <c r="AC35" i="33"/>
  <c r="AE35" i="33"/>
  <c r="AC27" i="33"/>
  <c r="AE27" i="33"/>
  <c r="AC19" i="33"/>
  <c r="AE19" i="33"/>
  <c r="AC11" i="33"/>
  <c r="AE11" i="33"/>
  <c r="AQ9" i="33"/>
  <c r="AS9" i="33" s="1"/>
  <c r="AD9" i="33"/>
  <c r="AL9" i="33" s="1"/>
  <c r="AN21" i="33"/>
  <c r="AO21" i="33" s="1"/>
  <c r="AP21" i="33" s="1"/>
  <c r="AC49" i="33"/>
  <c r="AC41" i="33"/>
  <c r="AC33" i="33"/>
  <c r="AC25" i="33"/>
  <c r="AC17" i="33"/>
  <c r="AC9" i="33"/>
  <c r="BY28" i="34"/>
  <c r="BZ28" i="34" s="1"/>
  <c r="BX28" i="34"/>
  <c r="BL45" i="34"/>
  <c r="BL37" i="34"/>
  <c r="BL29" i="34"/>
  <c r="BY34" i="34"/>
  <c r="BU37" i="34"/>
  <c r="BL44" i="34"/>
  <c r="BL20" i="34"/>
  <c r="BL43" i="34"/>
  <c r="BJ8" i="34"/>
  <c r="BH8" i="34"/>
  <c r="AW48" i="34"/>
  <c r="BL19" i="34"/>
  <c r="BK19" i="34"/>
  <c r="CA19" i="34"/>
  <c r="BH35" i="34"/>
  <c r="BQ35" i="34" s="1"/>
  <c r="BJ35" i="34"/>
  <c r="BR51" i="34"/>
  <c r="BS51" i="34" s="1"/>
  <c r="BT51" i="34" s="1"/>
  <c r="BU51" i="34" s="1"/>
  <c r="BR11" i="34"/>
  <c r="BS11" i="34" s="1"/>
  <c r="BT11" i="34" s="1"/>
  <c r="BU11" i="34" s="1"/>
  <c r="BL50" i="34"/>
  <c r="BL42" i="34"/>
  <c r="BL34" i="34"/>
  <c r="BL26" i="34"/>
  <c r="BL18" i="34"/>
  <c r="BK42" i="34"/>
  <c r="BI52" i="34"/>
  <c r="BV52" i="34"/>
  <c r="BI36" i="34"/>
  <c r="BQ36" i="34" s="1"/>
  <c r="BK11" i="34"/>
  <c r="CA11" i="34"/>
  <c r="BH27" i="34"/>
  <c r="BQ27" i="34" s="1"/>
  <c r="BJ27" i="34"/>
  <c r="BH40" i="34"/>
  <c r="BJ40" i="34"/>
  <c r="BH32" i="34"/>
  <c r="BQ32" i="34" s="1"/>
  <c r="BJ32" i="34"/>
  <c r="CA34" i="34"/>
  <c r="BH51" i="34"/>
  <c r="BQ51" i="34" s="1"/>
  <c r="BJ51" i="34"/>
  <c r="CB52" i="34"/>
  <c r="CB36" i="34"/>
  <c r="CE36" i="34" s="1"/>
  <c r="CA42" i="34"/>
  <c r="BL47" i="34"/>
  <c r="BL39" i="34"/>
  <c r="BL31" i="34"/>
  <c r="BL23" i="34"/>
  <c r="BL15" i="34"/>
  <c r="BL7" i="34"/>
  <c r="BK34" i="34"/>
  <c r="BH48" i="34"/>
  <c r="BJ48" i="34"/>
  <c r="BQ28" i="34"/>
  <c r="BH22" i="34"/>
  <c r="BQ22" i="34" s="1"/>
  <c r="BJ22" i="34"/>
  <c r="BH14" i="34"/>
  <c r="BJ14" i="34"/>
  <c r="BH45" i="34"/>
  <c r="BJ45" i="34"/>
  <c r="BH37" i="34"/>
  <c r="BQ37" i="34" s="1"/>
  <c r="BJ37" i="34"/>
  <c r="BH29" i="34"/>
  <c r="BQ29" i="34" s="1"/>
  <c r="BJ29" i="34"/>
  <c r="BH21" i="34"/>
  <c r="BJ21" i="34"/>
  <c r="BH13" i="34"/>
  <c r="BQ13" i="34" s="1"/>
  <c r="BJ13" i="34"/>
  <c r="BH25" i="34"/>
  <c r="BQ25" i="34" s="1"/>
  <c r="BH50" i="34"/>
  <c r="BQ50" i="34" s="1"/>
  <c r="BH42" i="34"/>
  <c r="BQ42" i="34" s="1"/>
  <c r="BH34" i="34"/>
  <c r="BJ26" i="34"/>
  <c r="BH26" i="34"/>
  <c r="BJ18" i="34"/>
  <c r="BH18" i="34"/>
  <c r="BQ18" i="34" s="1"/>
  <c r="BJ10" i="34"/>
  <c r="BH10" i="34"/>
  <c r="BJ43" i="34"/>
  <c r="BH17" i="34"/>
  <c r="BH47" i="34"/>
  <c r="BQ47" i="34" s="1"/>
  <c r="BH39" i="34"/>
  <c r="BH31" i="34"/>
  <c r="AN46" i="34"/>
  <c r="AO46" i="34" s="1"/>
  <c r="AP46" i="34" s="1"/>
  <c r="AQ47" i="34"/>
  <c r="AD47" i="34"/>
  <c r="AQ31" i="34"/>
  <c r="AD31" i="34"/>
  <c r="AL31" i="34" s="1"/>
  <c r="AE51" i="34"/>
  <c r="AC51" i="34"/>
  <c r="AL51" i="34" s="1"/>
  <c r="AE43" i="34"/>
  <c r="AC43" i="34"/>
  <c r="AL43" i="34" s="1"/>
  <c r="AE35" i="34"/>
  <c r="AC35" i="34"/>
  <c r="AL35" i="34" s="1"/>
  <c r="AE27" i="34"/>
  <c r="AC27" i="34"/>
  <c r="AL27" i="34" s="1"/>
  <c r="AE19" i="34"/>
  <c r="AC19" i="34"/>
  <c r="AL19" i="34" s="1"/>
  <c r="AE11" i="34"/>
  <c r="AC11" i="34"/>
  <c r="AL11" i="34" s="1"/>
  <c r="AQ40" i="34"/>
  <c r="AS40" i="34" s="1"/>
  <c r="AD40" i="34"/>
  <c r="AL40" i="34" s="1"/>
  <c r="AE50" i="34"/>
  <c r="AC50" i="34"/>
  <c r="AL50" i="34" s="1"/>
  <c r="AE42" i="34"/>
  <c r="AE34" i="34"/>
  <c r="AC34" i="34"/>
  <c r="AE10" i="34"/>
  <c r="AC10" i="34"/>
  <c r="AC49" i="34"/>
  <c r="AE49" i="34"/>
  <c r="AC41" i="34"/>
  <c r="AE41" i="34"/>
  <c r="AC33" i="34"/>
  <c r="AL33" i="34" s="1"/>
  <c r="AE33" i="34"/>
  <c r="AC25" i="34"/>
  <c r="AL25" i="34" s="1"/>
  <c r="AE25" i="34"/>
  <c r="AC17" i="34"/>
  <c r="AE17" i="34"/>
  <c r="AC9" i="34"/>
  <c r="AL9" i="34" s="1"/>
  <c r="AE9" i="34"/>
  <c r="AQ44" i="34"/>
  <c r="AP34" i="34"/>
  <c r="AN6" i="34"/>
  <c r="AO6" i="34" s="1"/>
  <c r="AP6" i="34" s="1"/>
  <c r="AG45" i="34"/>
  <c r="AG37" i="34"/>
  <c r="AG29" i="34"/>
  <c r="AG21" i="34"/>
  <c r="AG13" i="34"/>
  <c r="AG52" i="34"/>
  <c r="AM52" i="34"/>
  <c r="AN52" i="34" s="1"/>
  <c r="AO52" i="34" s="1"/>
  <c r="AP52" i="34" s="1"/>
  <c r="AG44" i="34"/>
  <c r="AM44" i="34"/>
  <c r="AN44" i="34" s="1"/>
  <c r="AO44" i="34" s="1"/>
  <c r="AP44" i="34" s="1"/>
  <c r="AG36" i="34"/>
  <c r="AM36" i="34"/>
  <c r="AN36" i="34" s="1"/>
  <c r="AO36" i="34" s="1"/>
  <c r="AP36" i="34" s="1"/>
  <c r="AG28" i="34"/>
  <c r="AM28" i="34"/>
  <c r="AN28" i="34" s="1"/>
  <c r="AO28" i="34" s="1"/>
  <c r="AG20" i="34"/>
  <c r="AM20" i="34"/>
  <c r="AN20" i="34" s="1"/>
  <c r="AO20" i="34" s="1"/>
  <c r="AP20" i="34" s="1"/>
  <c r="AG12" i="34"/>
  <c r="AM12" i="34"/>
  <c r="AN12" i="34" s="1"/>
  <c r="AO12" i="34" s="1"/>
  <c r="AP12" i="34" s="1"/>
  <c r="AG43" i="34"/>
  <c r="AG35" i="34"/>
  <c r="AG27" i="34"/>
  <c r="AG19" i="34"/>
  <c r="AQ23" i="34"/>
  <c r="AD23" i="34"/>
  <c r="AQ7" i="34"/>
  <c r="AS7" i="34" s="1"/>
  <c r="AD7" i="34"/>
  <c r="AD24" i="34"/>
  <c r="AD8" i="34"/>
  <c r="AL8" i="34" s="1"/>
  <c r="AC52" i="34"/>
  <c r="AL52" i="34" s="1"/>
  <c r="AC44" i="34"/>
  <c r="AL44" i="34" s="1"/>
  <c r="AC36" i="34"/>
  <c r="AL36" i="34" s="1"/>
  <c r="AC12" i="34"/>
  <c r="AL12" i="34" s="1"/>
  <c r="EC26" i="30"/>
  <c r="ED26" i="30" s="1"/>
  <c r="EF39" i="30"/>
  <c r="EL39" i="30"/>
  <c r="DS39" i="30"/>
  <c r="EF33" i="30"/>
  <c r="EL33" i="30"/>
  <c r="DS33" i="30"/>
  <c r="EA33" i="30" s="1"/>
  <c r="DR54" i="30"/>
  <c r="EA54" i="30" s="1"/>
  <c r="DT54" i="30"/>
  <c r="DR38" i="30"/>
  <c r="DT38" i="30"/>
  <c r="DR22" i="30"/>
  <c r="EA22" i="30" s="1"/>
  <c r="DT22" i="30"/>
  <c r="EE46" i="30"/>
  <c r="DT47" i="30"/>
  <c r="DR47" i="30"/>
  <c r="DT31" i="30"/>
  <c r="DR31" i="30"/>
  <c r="EA31" i="30" s="1"/>
  <c r="DT15" i="30"/>
  <c r="DR15" i="30"/>
  <c r="DT46" i="30"/>
  <c r="DR46" i="30"/>
  <c r="EL23" i="30"/>
  <c r="AT58" i="30"/>
  <c r="AU58" i="30" s="1"/>
  <c r="AS58" i="30"/>
  <c r="AT22" i="30"/>
  <c r="AU22" i="30" s="1"/>
  <c r="AQ14" i="30"/>
  <c r="AD14" i="30"/>
  <c r="AW14" i="30"/>
  <c r="AT13" i="30"/>
  <c r="AS13" i="30"/>
  <c r="EG30" i="30"/>
  <c r="EB41" i="30"/>
  <c r="EC41" i="30" s="1"/>
  <c r="ED41" i="30" s="1"/>
  <c r="EE41" i="30" s="1"/>
  <c r="EB30" i="30"/>
  <c r="EC30" i="30" s="1"/>
  <c r="ED30" i="30" s="1"/>
  <c r="EE30" i="30" s="1"/>
  <c r="DV53" i="30"/>
  <c r="DV25" i="30"/>
  <c r="DT41" i="30"/>
  <c r="DT16" i="30"/>
  <c r="DR32" i="30"/>
  <c r="EA32" i="30" s="1"/>
  <c r="DB34" i="30"/>
  <c r="CP34" i="30"/>
  <c r="DD59" i="30"/>
  <c r="DD27" i="30"/>
  <c r="DE27" i="30" s="1"/>
  <c r="CP33" i="30"/>
  <c r="DB33" i="30"/>
  <c r="DD43" i="30"/>
  <c r="EC40" i="30"/>
  <c r="ED40" i="30" s="1"/>
  <c r="EE40" i="30" s="1"/>
  <c r="DV15" i="30"/>
  <c r="EB15" i="30"/>
  <c r="EC15" i="30" s="1"/>
  <c r="ED15" i="30" s="1"/>
  <c r="EE15" i="30" s="1"/>
  <c r="DV35" i="30"/>
  <c r="EK17" i="30"/>
  <c r="EG17" i="30"/>
  <c r="EB17" i="30"/>
  <c r="EC17" i="30" s="1"/>
  <c r="ED17" i="30" s="1"/>
  <c r="EE17" i="30" s="1"/>
  <c r="DV23" i="30"/>
  <c r="EB23" i="30"/>
  <c r="EC23" i="30" s="1"/>
  <c r="ED23" i="30" s="1"/>
  <c r="DV59" i="30"/>
  <c r="DU55" i="30"/>
  <c r="DR55" i="30"/>
  <c r="DD19" i="30"/>
  <c r="DE19" i="30" s="1"/>
  <c r="DC19" i="30"/>
  <c r="EG39" i="30"/>
  <c r="DT21" i="30"/>
  <c r="DR21" i="30"/>
  <c r="EF30" i="30"/>
  <c r="EC48" i="30"/>
  <c r="ED48" i="30" s="1"/>
  <c r="EE48" i="30" s="1"/>
  <c r="EC16" i="30"/>
  <c r="ED16" i="30" s="1"/>
  <c r="EE16" i="30" s="1"/>
  <c r="DV49" i="30"/>
  <c r="DV31" i="30"/>
  <c r="EB31" i="30"/>
  <c r="EC31" i="30" s="1"/>
  <c r="ED31" i="30" s="1"/>
  <c r="EE31" i="30" s="1"/>
  <c r="DV13" i="30"/>
  <c r="DV19" i="30"/>
  <c r="DT49" i="30"/>
  <c r="DT24" i="30"/>
  <c r="DT37" i="30"/>
  <c r="DR37" i="30"/>
  <c r="EA37" i="30" s="1"/>
  <c r="EK55" i="30"/>
  <c r="EK39" i="30"/>
  <c r="EG14" i="30"/>
  <c r="EB14" i="30"/>
  <c r="EC14" i="30" s="1"/>
  <c r="ED14" i="30" s="1"/>
  <c r="EE14" i="30" s="1"/>
  <c r="DV39" i="30"/>
  <c r="EB39" i="30"/>
  <c r="EC39" i="30" s="1"/>
  <c r="ED39" i="30" s="1"/>
  <c r="EE39" i="30" s="1"/>
  <c r="DV21" i="30"/>
  <c r="DT48" i="30"/>
  <c r="DR39" i="30"/>
  <c r="EA39" i="30" s="1"/>
  <c r="DQ52" i="30"/>
  <c r="DY52" i="30"/>
  <c r="DQ44" i="30"/>
  <c r="DY44" i="30"/>
  <c r="DQ36" i="30"/>
  <c r="DY36" i="30"/>
  <c r="DQ28" i="30"/>
  <c r="DY28" i="30"/>
  <c r="DQ20" i="30"/>
  <c r="DY20" i="30"/>
  <c r="DD51" i="30"/>
  <c r="DE51" i="30" s="1"/>
  <c r="CP58" i="30"/>
  <c r="DF58" i="30"/>
  <c r="DB58" i="30"/>
  <c r="CP17" i="30"/>
  <c r="DB17" i="30"/>
  <c r="DB48" i="30"/>
  <c r="CP48" i="30"/>
  <c r="DF48" i="30"/>
  <c r="CO47" i="30"/>
  <c r="CM47" i="30"/>
  <c r="CM31" i="30"/>
  <c r="CV31" i="30" s="1"/>
  <c r="CO31" i="30"/>
  <c r="CP23" i="30"/>
  <c r="DB23" i="30"/>
  <c r="DF23" i="30"/>
  <c r="CO15" i="30"/>
  <c r="CM15" i="30"/>
  <c r="CN35" i="30"/>
  <c r="DA35" i="30"/>
  <c r="DG35" i="30"/>
  <c r="EK30" i="30"/>
  <c r="EK14" i="30"/>
  <c r="EC56" i="30"/>
  <c r="ED56" i="30" s="1"/>
  <c r="EE56" i="30" s="1"/>
  <c r="EB45" i="30"/>
  <c r="EC45" i="30" s="1"/>
  <c r="ED45" i="30" s="1"/>
  <c r="EE45" i="30" s="1"/>
  <c r="DV47" i="30"/>
  <c r="EB47" i="30"/>
  <c r="EC47" i="30" s="1"/>
  <c r="ED47" i="30" s="1"/>
  <c r="EE47" i="30" s="1"/>
  <c r="DV29" i="30"/>
  <c r="DV54" i="30"/>
  <c r="DT59" i="30"/>
  <c r="DR59" i="30"/>
  <c r="EA59" i="30" s="1"/>
  <c r="DT45" i="30"/>
  <c r="DR45" i="30"/>
  <c r="EA45" i="30" s="1"/>
  <c r="DT29" i="30"/>
  <c r="DR29" i="30"/>
  <c r="EA29" i="30" s="1"/>
  <c r="DT51" i="30"/>
  <c r="DR51" i="30"/>
  <c r="EA51" i="30" s="1"/>
  <c r="DT43" i="30"/>
  <c r="DR43" i="30"/>
  <c r="DT35" i="30"/>
  <c r="DR35" i="30"/>
  <c r="EA35" i="30" s="1"/>
  <c r="DT27" i="30"/>
  <c r="DR27" i="30"/>
  <c r="EA27" i="30" s="1"/>
  <c r="DT19" i="30"/>
  <c r="DR19" i="30"/>
  <c r="EA19" i="30" s="1"/>
  <c r="CQ42" i="30"/>
  <c r="CW42" i="30"/>
  <c r="CX42" i="30" s="1"/>
  <c r="CY42" i="30" s="1"/>
  <c r="CZ42" i="30" s="1"/>
  <c r="CQ23" i="30"/>
  <c r="CW23" i="30"/>
  <c r="CX23" i="30" s="1"/>
  <c r="CY23" i="30" s="1"/>
  <c r="CZ23" i="30" s="1"/>
  <c r="CQ14" i="30"/>
  <c r="CW14" i="30"/>
  <c r="CX14" i="30" s="1"/>
  <c r="CY14" i="30" s="1"/>
  <c r="CZ14" i="30" s="1"/>
  <c r="CO38" i="30"/>
  <c r="CM38" i="30"/>
  <c r="EC32" i="30"/>
  <c r="ED32" i="30" s="1"/>
  <c r="EE32" i="30" s="1"/>
  <c r="EG56" i="30"/>
  <c r="DU56" i="30"/>
  <c r="EG40" i="30"/>
  <c r="DU40" i="30"/>
  <c r="EL30" i="30"/>
  <c r="EL14" i="30"/>
  <c r="EB33" i="30"/>
  <c r="EC33" i="30" s="1"/>
  <c r="ED33" i="30" s="1"/>
  <c r="EE33" i="30" s="1"/>
  <c r="DV55" i="30"/>
  <c r="EB55" i="30"/>
  <c r="EC55" i="30" s="1"/>
  <c r="ED55" i="30" s="1"/>
  <c r="EE55" i="30" s="1"/>
  <c r="DV37" i="30"/>
  <c r="DV27" i="30"/>
  <c r="DQ58" i="30"/>
  <c r="DQ50" i="30"/>
  <c r="EE50" i="30" s="1"/>
  <c r="DQ42" i="30"/>
  <c r="EE42" i="30" s="1"/>
  <c r="DQ34" i="30"/>
  <c r="EE34" i="30" s="1"/>
  <c r="DQ26" i="30"/>
  <c r="DQ18" i="30"/>
  <c r="EE18" i="30" s="1"/>
  <c r="CQ30" i="30"/>
  <c r="CW30" i="30"/>
  <c r="CX30" i="30" s="1"/>
  <c r="CY30" i="30" s="1"/>
  <c r="CZ30" i="30" s="1"/>
  <c r="CQ21" i="30"/>
  <c r="CP57" i="30"/>
  <c r="DB57" i="30"/>
  <c r="CM40" i="30"/>
  <c r="CV40" i="30" s="1"/>
  <c r="CO40" i="30"/>
  <c r="CM24" i="30"/>
  <c r="CO24" i="30"/>
  <c r="CP16" i="30"/>
  <c r="DB16" i="30"/>
  <c r="CM55" i="30"/>
  <c r="CO55" i="30"/>
  <c r="CO46" i="30"/>
  <c r="CM46" i="30"/>
  <c r="CO30" i="30"/>
  <c r="CM30" i="30"/>
  <c r="CV30" i="30" s="1"/>
  <c r="CO14" i="30"/>
  <c r="CM14" i="30"/>
  <c r="CV14" i="30" s="1"/>
  <c r="CQ48" i="30"/>
  <c r="CQ38" i="30"/>
  <c r="CW38" i="30"/>
  <c r="CX38" i="30" s="1"/>
  <c r="CY38" i="30" s="1"/>
  <c r="CZ38" i="30" s="1"/>
  <c r="CQ29" i="30"/>
  <c r="CW20" i="30"/>
  <c r="CX20" i="30" s="1"/>
  <c r="CY20" i="30" s="1"/>
  <c r="CZ20" i="30" s="1"/>
  <c r="CQ20" i="30"/>
  <c r="CO56" i="30"/>
  <c r="CM16" i="30"/>
  <c r="CV16" i="30" s="1"/>
  <c r="CX34" i="30"/>
  <c r="CY34" i="30" s="1"/>
  <c r="CZ34" i="30" s="1"/>
  <c r="CQ37" i="30"/>
  <c r="CQ28" i="30"/>
  <c r="CL52" i="30"/>
  <c r="CT52" i="30"/>
  <c r="CL44" i="30"/>
  <c r="CT44" i="30"/>
  <c r="CO36" i="30"/>
  <c r="CM36" i="30"/>
  <c r="CV36" i="30" s="1"/>
  <c r="CO28" i="30"/>
  <c r="CM28" i="30"/>
  <c r="CO20" i="30"/>
  <c r="CM20" i="30"/>
  <c r="CV20" i="30" s="1"/>
  <c r="DF57" i="30"/>
  <c r="DF39" i="30"/>
  <c r="CW58" i="30"/>
  <c r="CX58" i="30" s="1"/>
  <c r="CY58" i="30" s="1"/>
  <c r="CZ58" i="30" s="1"/>
  <c r="CW21" i="30"/>
  <c r="CX21" i="30" s="1"/>
  <c r="CY21" i="30" s="1"/>
  <c r="CZ21" i="30" s="1"/>
  <c r="CQ46" i="30"/>
  <c r="CW46" i="30"/>
  <c r="CX46" i="30" s="1"/>
  <c r="CY46" i="30" s="1"/>
  <c r="CZ46" i="30" s="1"/>
  <c r="CW36" i="30"/>
  <c r="CX36" i="30" s="1"/>
  <c r="CY36" i="30" s="1"/>
  <c r="CZ36" i="30" s="1"/>
  <c r="CQ36" i="30"/>
  <c r="CQ47" i="30"/>
  <c r="CP25" i="30"/>
  <c r="CM39" i="30"/>
  <c r="CV39" i="30" s="1"/>
  <c r="CO54" i="30"/>
  <c r="CM54" i="30"/>
  <c r="CV54" i="30" s="1"/>
  <c r="CO22" i="30"/>
  <c r="CM22" i="30"/>
  <c r="CV22" i="30" s="1"/>
  <c r="CP53" i="30"/>
  <c r="DF53" i="30"/>
  <c r="CM37" i="30"/>
  <c r="CV37" i="30" s="1"/>
  <c r="CO37" i="30"/>
  <c r="CM29" i="30"/>
  <c r="CV29" i="30" s="1"/>
  <c r="CO29" i="30"/>
  <c r="CQ45" i="30"/>
  <c r="CW45" i="30"/>
  <c r="CX45" i="30" s="1"/>
  <c r="CY45" i="30" s="1"/>
  <c r="CZ45" i="30" s="1"/>
  <c r="CP45" i="30"/>
  <c r="DF45" i="30"/>
  <c r="CM50" i="30"/>
  <c r="CV50" i="30" s="1"/>
  <c r="CO50" i="30"/>
  <c r="DF18" i="30"/>
  <c r="CQ54" i="30"/>
  <c r="CW54" i="30"/>
  <c r="CX54" i="30" s="1"/>
  <c r="CY54" i="30" s="1"/>
  <c r="CZ54" i="30" s="1"/>
  <c r="CX15" i="30"/>
  <c r="CY15" i="30" s="1"/>
  <c r="CZ15" i="30" s="1"/>
  <c r="CN39" i="30"/>
  <c r="CM57" i="30"/>
  <c r="CV57" i="30" s="1"/>
  <c r="CM49" i="30"/>
  <c r="CV49" i="30" s="1"/>
  <c r="CM41" i="30"/>
  <c r="CM33" i="30"/>
  <c r="CM25" i="30"/>
  <c r="CV25" i="30" s="1"/>
  <c r="CM17" i="30"/>
  <c r="BH57" i="30"/>
  <c r="BQ57" i="30" s="1"/>
  <c r="BU57" i="30"/>
  <c r="BJ49" i="30"/>
  <c r="BH49" i="30"/>
  <c r="BQ49" i="30" s="1"/>
  <c r="BH41" i="30"/>
  <c r="BJ41" i="30"/>
  <c r="BJ33" i="30"/>
  <c r="BH33" i="30"/>
  <c r="BJ25" i="30"/>
  <c r="BH25" i="30"/>
  <c r="BQ25" i="30" s="1"/>
  <c r="BJ17" i="30"/>
  <c r="BH17" i="30"/>
  <c r="BH56" i="30"/>
  <c r="BJ56" i="30"/>
  <c r="BH48" i="30"/>
  <c r="BJ48" i="30"/>
  <c r="BH40" i="30"/>
  <c r="BQ40" i="30" s="1"/>
  <c r="BJ40" i="30"/>
  <c r="BH32" i="30"/>
  <c r="BJ32" i="30"/>
  <c r="BH24" i="30"/>
  <c r="BJ24" i="30"/>
  <c r="BH16" i="30"/>
  <c r="BQ16" i="30" s="1"/>
  <c r="BJ16" i="30"/>
  <c r="CQ53" i="30"/>
  <c r="CQ16" i="30"/>
  <c r="CO41" i="30"/>
  <c r="CM59" i="30"/>
  <c r="CV59" i="30" s="1"/>
  <c r="BU16" i="30"/>
  <c r="BS17" i="30"/>
  <c r="BT17" i="30" s="1"/>
  <c r="BU17" i="30" s="1"/>
  <c r="CQ24" i="30"/>
  <c r="CV45" i="30"/>
  <c r="CO26" i="30"/>
  <c r="BY13" i="30"/>
  <c r="BZ13" i="30" s="1"/>
  <c r="BX13" i="30"/>
  <c r="BY45" i="30"/>
  <c r="BU32" i="30"/>
  <c r="BJ57" i="30"/>
  <c r="CQ40" i="30"/>
  <c r="CQ22" i="30"/>
  <c r="CW22" i="30"/>
  <c r="CX22" i="30" s="1"/>
  <c r="CY22" i="30" s="1"/>
  <c r="CZ22" i="30" s="1"/>
  <c r="CQ13" i="30"/>
  <c r="CV51" i="30"/>
  <c r="CV43" i="30"/>
  <c r="CV35" i="30"/>
  <c r="CV27" i="30"/>
  <c r="CV19" i="30"/>
  <c r="CO49" i="30"/>
  <c r="BY29" i="30"/>
  <c r="BZ29" i="30" s="1"/>
  <c r="BI15" i="30"/>
  <c r="BV15" i="30"/>
  <c r="BO59" i="30"/>
  <c r="BG59" i="30"/>
  <c r="BO51" i="30"/>
  <c r="BG51" i="30"/>
  <c r="BL43" i="30"/>
  <c r="BO35" i="30"/>
  <c r="BG35" i="30"/>
  <c r="BO27" i="30"/>
  <c r="BG27" i="30"/>
  <c r="BO19" i="30"/>
  <c r="BG19" i="30"/>
  <c r="BR14" i="30"/>
  <c r="BS14" i="30" s="1"/>
  <c r="BT14" i="30" s="1"/>
  <c r="BU14" i="30" s="1"/>
  <c r="BL14" i="30"/>
  <c r="BI47" i="30"/>
  <c r="BV47" i="30"/>
  <c r="BX47" i="30" s="1"/>
  <c r="BY47" i="30"/>
  <c r="BL49" i="30"/>
  <c r="BR49" i="30"/>
  <c r="BS49" i="30" s="1"/>
  <c r="BT49" i="30" s="1"/>
  <c r="BU49" i="30" s="1"/>
  <c r="BL40" i="30"/>
  <c r="BR40" i="30"/>
  <c r="BS40" i="30" s="1"/>
  <c r="BT40" i="30" s="1"/>
  <c r="BU40" i="30" s="1"/>
  <c r="BL31" i="30"/>
  <c r="BR31" i="30"/>
  <c r="BS31" i="30" s="1"/>
  <c r="BT31" i="30" s="1"/>
  <c r="BU31" i="30" s="1"/>
  <c r="BR22" i="30"/>
  <c r="BS22" i="30" s="1"/>
  <c r="BT22" i="30" s="1"/>
  <c r="BU22" i="30" s="1"/>
  <c r="BL22" i="30"/>
  <c r="BL13" i="30"/>
  <c r="BJ28" i="30"/>
  <c r="BH28" i="30"/>
  <c r="BL46" i="30"/>
  <c r="CT57" i="30"/>
  <c r="CT49" i="30"/>
  <c r="CT41" i="30"/>
  <c r="CT33" i="30"/>
  <c r="CT25" i="30"/>
  <c r="CT17" i="30"/>
  <c r="CB15" i="30"/>
  <c r="BV46" i="30"/>
  <c r="BS38" i="30"/>
  <c r="BT38" i="30" s="1"/>
  <c r="BU38" i="30" s="1"/>
  <c r="BV31" i="30"/>
  <c r="BI31" i="30"/>
  <c r="BJ44" i="30"/>
  <c r="BH44" i="30"/>
  <c r="BQ44" i="30" s="1"/>
  <c r="CA29" i="30"/>
  <c r="BR41" i="30"/>
  <c r="BS41" i="30" s="1"/>
  <c r="BT41" i="30" s="1"/>
  <c r="BU41" i="30" s="1"/>
  <c r="BL55" i="30"/>
  <c r="BS46" i="30"/>
  <c r="BT46" i="30" s="1"/>
  <c r="BU46" i="30" s="1"/>
  <c r="BL37" i="30"/>
  <c r="BL18" i="30"/>
  <c r="BQ32" i="30"/>
  <c r="BG43" i="30"/>
  <c r="BU43" i="30" s="1"/>
  <c r="BL48" i="30"/>
  <c r="BL30" i="30"/>
  <c r="BR30" i="30"/>
  <c r="BS30" i="30" s="1"/>
  <c r="BT30" i="30" s="1"/>
  <c r="BU30" i="30" s="1"/>
  <c r="BL20" i="30"/>
  <c r="BL39" i="30"/>
  <c r="BJ53" i="30"/>
  <c r="BH53" i="30"/>
  <c r="BQ53" i="30" s="1"/>
  <c r="BJ37" i="30"/>
  <c r="BH37" i="30"/>
  <c r="BQ37" i="30" s="1"/>
  <c r="BJ21" i="30"/>
  <c r="BH21" i="30"/>
  <c r="BJ55" i="30"/>
  <c r="BH47" i="30"/>
  <c r="BJ39" i="30"/>
  <c r="BH31" i="30"/>
  <c r="BQ31" i="30" s="1"/>
  <c r="BJ23" i="30"/>
  <c r="BH15" i="30"/>
  <c r="BQ15" i="30" s="1"/>
  <c r="BL36" i="30"/>
  <c r="BL38" i="30"/>
  <c r="BL21" i="30"/>
  <c r="BJ30" i="30"/>
  <c r="BH22" i="30"/>
  <c r="BQ22" i="30" s="1"/>
  <c r="AT44" i="30"/>
  <c r="AU44" i="30" s="1"/>
  <c r="BL34" i="30"/>
  <c r="BL25" i="30"/>
  <c r="BH54" i="30"/>
  <c r="BQ54" i="30" s="1"/>
  <c r="BR48" i="30"/>
  <c r="BS48" i="30" s="1"/>
  <c r="BT48" i="30" s="1"/>
  <c r="BU48" i="30" s="1"/>
  <c r="BR20" i="30"/>
  <c r="BS20" i="30" s="1"/>
  <c r="BT20" i="30" s="1"/>
  <c r="BL52" i="30"/>
  <c r="BL24" i="30"/>
  <c r="BQ13" i="30"/>
  <c r="BL15" i="30"/>
  <c r="BG58" i="30"/>
  <c r="BG50" i="30"/>
  <c r="BG42" i="30"/>
  <c r="BG34" i="30"/>
  <c r="BG26" i="30"/>
  <c r="BG18" i="30"/>
  <c r="BU18" i="30" s="1"/>
  <c r="AD51" i="30"/>
  <c r="AQ51" i="30"/>
  <c r="AT28" i="30"/>
  <c r="AT34" i="30"/>
  <c r="AU34" i="30" s="1"/>
  <c r="AR59" i="30"/>
  <c r="AR27" i="30"/>
  <c r="AN30" i="30"/>
  <c r="AO30" i="30" s="1"/>
  <c r="AP30" i="30" s="1"/>
  <c r="AQ38" i="30"/>
  <c r="AD38" i="30"/>
  <c r="AL38" i="30" s="1"/>
  <c r="AN38" i="30"/>
  <c r="AO38" i="30" s="1"/>
  <c r="AP38" i="30" s="1"/>
  <c r="AG52" i="30"/>
  <c r="AN46" i="30"/>
  <c r="AO46" i="30" s="1"/>
  <c r="AP46" i="30" s="1"/>
  <c r="AQ22" i="30"/>
  <c r="AS22" i="30" s="1"/>
  <c r="AD22" i="30"/>
  <c r="AE57" i="30"/>
  <c r="AC57" i="30"/>
  <c r="AL57" i="30" s="1"/>
  <c r="AE49" i="30"/>
  <c r="AC49" i="30"/>
  <c r="AL49" i="30" s="1"/>
  <c r="AE41" i="30"/>
  <c r="AC41" i="30"/>
  <c r="AE33" i="30"/>
  <c r="AC33" i="30"/>
  <c r="AC56" i="30"/>
  <c r="AE56" i="30"/>
  <c r="AC48" i="30"/>
  <c r="AE48" i="30"/>
  <c r="AC40" i="30"/>
  <c r="AL40" i="30" s="1"/>
  <c r="AE40" i="30"/>
  <c r="AC32" i="30"/>
  <c r="AL32" i="30" s="1"/>
  <c r="AE32" i="30"/>
  <c r="AC24" i="30"/>
  <c r="AE24" i="30"/>
  <c r="AC16" i="30"/>
  <c r="AL16" i="30" s="1"/>
  <c r="AE16" i="30"/>
  <c r="AQ59" i="30"/>
  <c r="AN54" i="30"/>
  <c r="AO54" i="30" s="1"/>
  <c r="AP54" i="30" s="1"/>
  <c r="AQ46" i="30"/>
  <c r="AD46" i="30"/>
  <c r="AL46" i="30" s="1"/>
  <c r="AQ30" i="30"/>
  <c r="AD30" i="30"/>
  <c r="AQ54" i="30"/>
  <c r="AD54" i="30"/>
  <c r="AC59" i="30"/>
  <c r="AL59" i="30" s="1"/>
  <c r="AC51" i="30"/>
  <c r="AL51" i="30" s="1"/>
  <c r="AC43" i="30"/>
  <c r="AL43" i="30" s="1"/>
  <c r="AC35" i="30"/>
  <c r="AL35" i="30" s="1"/>
  <c r="AC27" i="30"/>
  <c r="AL27" i="30" s="1"/>
  <c r="AC19" i="30"/>
  <c r="AL19" i="30" s="1"/>
  <c r="AM59" i="30"/>
  <c r="AN59" i="30" s="1"/>
  <c r="AO59" i="30" s="1"/>
  <c r="AP59" i="30" s="1"/>
  <c r="AM51" i="30"/>
  <c r="AN51" i="30" s="1"/>
  <c r="AO51" i="30" s="1"/>
  <c r="AP51" i="30" s="1"/>
  <c r="AM43" i="30"/>
  <c r="AN43" i="30" s="1"/>
  <c r="AO43" i="30" s="1"/>
  <c r="AP43" i="30" s="1"/>
  <c r="AM35" i="30"/>
  <c r="AN35" i="30" s="1"/>
  <c r="AO35" i="30" s="1"/>
  <c r="AP35" i="30" s="1"/>
  <c r="AM27" i="30"/>
  <c r="AN27" i="30" s="1"/>
  <c r="AO27" i="30" s="1"/>
  <c r="AP27" i="30" s="1"/>
  <c r="AM19" i="30"/>
  <c r="AN19" i="30" s="1"/>
  <c r="AO19" i="30" s="1"/>
  <c r="AP19" i="30" s="1"/>
  <c r="AQ46" i="29"/>
  <c r="AD46" i="29"/>
  <c r="AW46" i="29"/>
  <c r="AQ14" i="29"/>
  <c r="AD14" i="29"/>
  <c r="AW14" i="29"/>
  <c r="AQ51" i="29"/>
  <c r="AS51" i="29" s="1"/>
  <c r="AQ43" i="29"/>
  <c r="AS43" i="29" s="1"/>
  <c r="AQ35" i="29"/>
  <c r="AQ27" i="29"/>
  <c r="AS27" i="29" s="1"/>
  <c r="AQ19" i="29"/>
  <c r="AS19" i="29" s="1"/>
  <c r="AQ11" i="29"/>
  <c r="AS11" i="29" s="1"/>
  <c r="AG52" i="29"/>
  <c r="AM52" i="29"/>
  <c r="AN52" i="29" s="1"/>
  <c r="AO52" i="29" s="1"/>
  <c r="AP52" i="29" s="1"/>
  <c r="AG34" i="29"/>
  <c r="AC43" i="29"/>
  <c r="AL43" i="29" s="1"/>
  <c r="AC11" i="29"/>
  <c r="AL11" i="29" s="1"/>
  <c r="AE18" i="29"/>
  <c r="AC18" i="29"/>
  <c r="AL18" i="29" s="1"/>
  <c r="AR51" i="29"/>
  <c r="AT51" i="29" s="1"/>
  <c r="AR43" i="29"/>
  <c r="AR35" i="29"/>
  <c r="AR27" i="29"/>
  <c r="AT27" i="29" s="1"/>
  <c r="AR19" i="29"/>
  <c r="AT19" i="29" s="1"/>
  <c r="AR11" i="29"/>
  <c r="AT11" i="29" s="1"/>
  <c r="AU11" i="29" s="1"/>
  <c r="AM50" i="29"/>
  <c r="AN50" i="29" s="1"/>
  <c r="AO50" i="29" s="1"/>
  <c r="AP50" i="29" s="1"/>
  <c r="AG42" i="29"/>
  <c r="AE39" i="29"/>
  <c r="AE7" i="29"/>
  <c r="AD22" i="29"/>
  <c r="AE52" i="29"/>
  <c r="AC52" i="29"/>
  <c r="AL52" i="29" s="1"/>
  <c r="AE50" i="29"/>
  <c r="AC50" i="29"/>
  <c r="AL50" i="29" s="1"/>
  <c r="AW22" i="29"/>
  <c r="AV37" i="29"/>
  <c r="AN21" i="29"/>
  <c r="AO21" i="29" s="1"/>
  <c r="AP21" i="29" s="1"/>
  <c r="AG21" i="29"/>
  <c r="AG12" i="29"/>
  <c r="AM12" i="29"/>
  <c r="AN12" i="29" s="1"/>
  <c r="AO12" i="29" s="1"/>
  <c r="AP12" i="29" s="1"/>
  <c r="AC48" i="29"/>
  <c r="AE48" i="29"/>
  <c r="AC40" i="29"/>
  <c r="AE40" i="29"/>
  <c r="AC32" i="29"/>
  <c r="AL32" i="29" s="1"/>
  <c r="AE32" i="29"/>
  <c r="AC24" i="29"/>
  <c r="AL24" i="29" s="1"/>
  <c r="AE24" i="29"/>
  <c r="AC8" i="29"/>
  <c r="AE8" i="29"/>
  <c r="AW37" i="29"/>
  <c r="AG29" i="29"/>
  <c r="AG20" i="29"/>
  <c r="AM20" i="29"/>
  <c r="AN20" i="29" s="1"/>
  <c r="AO20" i="29" s="1"/>
  <c r="AP20" i="29" s="1"/>
  <c r="AC27" i="29"/>
  <c r="AL27" i="29" s="1"/>
  <c r="AC49" i="29"/>
  <c r="AE49" i="29"/>
  <c r="AC41" i="29"/>
  <c r="AE41" i="29"/>
  <c r="AC33" i="29"/>
  <c r="AL33" i="29" s="1"/>
  <c r="AE33" i="29"/>
  <c r="AC25" i="29"/>
  <c r="AL25" i="29" s="1"/>
  <c r="AE25" i="29"/>
  <c r="AC17" i="29"/>
  <c r="AE17" i="29"/>
  <c r="AC9" i="29"/>
  <c r="AL9" i="29" s="1"/>
  <c r="AE9" i="29"/>
  <c r="AE34" i="29"/>
  <c r="AC34" i="29"/>
  <c r="AV51" i="29"/>
  <c r="AV43" i="29"/>
  <c r="AV35" i="29"/>
  <c r="AV27" i="29"/>
  <c r="AV19" i="29"/>
  <c r="AV11" i="29"/>
  <c r="AG37" i="29"/>
  <c r="AG28" i="29"/>
  <c r="AM28" i="29"/>
  <c r="AN28" i="29" s="1"/>
  <c r="AO28" i="29" s="1"/>
  <c r="AP28" i="29" s="1"/>
  <c r="AM10" i="29"/>
  <c r="AN10" i="29" s="1"/>
  <c r="AO10" i="29" s="1"/>
  <c r="AP10" i="29" s="1"/>
  <c r="AG10" i="29"/>
  <c r="AE23" i="29"/>
  <c r="AE44" i="29"/>
  <c r="AC44" i="29"/>
  <c r="AL44" i="29" s="1"/>
  <c r="AW51" i="29"/>
  <c r="AW43" i="29"/>
  <c r="AW35" i="29"/>
  <c r="AW27" i="29"/>
  <c r="AW19" i="29"/>
  <c r="AW11" i="29"/>
  <c r="AQ37" i="29"/>
  <c r="AS37" i="29" s="1"/>
  <c r="AG36" i="29"/>
  <c r="AM36" i="29"/>
  <c r="AN36" i="29" s="1"/>
  <c r="AO36" i="29" s="1"/>
  <c r="AP36" i="29" s="1"/>
  <c r="AM18" i="29"/>
  <c r="AN18" i="29" s="1"/>
  <c r="AO18" i="29" s="1"/>
  <c r="AP18" i="29" s="1"/>
  <c r="AG18" i="29"/>
  <c r="AC51" i="29"/>
  <c r="AL51" i="29" s="1"/>
  <c r="AC19" i="29"/>
  <c r="AL19" i="29" s="1"/>
  <c r="AE42" i="29"/>
  <c r="AC42" i="29"/>
  <c r="AL42" i="29" s="1"/>
  <c r="AE26" i="29"/>
  <c r="AC26" i="29"/>
  <c r="AE10" i="29"/>
  <c r="AC10" i="29"/>
  <c r="AR37" i="29"/>
  <c r="AT37" i="29" s="1"/>
  <c r="AU37" i="29" s="1"/>
  <c r="AG44" i="29"/>
  <c r="AM44" i="29"/>
  <c r="AN44" i="29" s="1"/>
  <c r="AO44" i="29" s="1"/>
  <c r="AP44" i="29" s="1"/>
  <c r="AG26" i="29"/>
  <c r="AE47" i="29"/>
  <c r="AC46" i="29"/>
  <c r="AL46" i="29" s="1"/>
  <c r="AC22" i="29"/>
  <c r="AL22" i="29" s="1"/>
  <c r="AC14" i="29"/>
  <c r="AC6" i="29"/>
  <c r="AC36" i="29"/>
  <c r="AL36" i="29" s="1"/>
  <c r="AC28" i="29"/>
  <c r="AL28" i="29" s="1"/>
  <c r="AC20" i="29"/>
  <c r="AL20" i="29" s="1"/>
  <c r="AC12" i="29"/>
  <c r="AJ49" i="29"/>
  <c r="AJ41" i="29"/>
  <c r="AJ33" i="29"/>
  <c r="AJ25" i="29"/>
  <c r="AJ17" i="29"/>
  <c r="AJ9" i="29"/>
  <c r="BS5" i="33"/>
  <c r="BT5" i="33" s="1"/>
  <c r="BG5" i="34"/>
  <c r="BH5" i="34" s="1"/>
  <c r="BQ5" i="34" s="1"/>
  <c r="CL12" i="30"/>
  <c r="CO12" i="30" s="1"/>
  <c r="DF12" i="30" s="1"/>
  <c r="DQ12" i="30"/>
  <c r="DT12" i="30" s="1"/>
  <c r="BS12" i="30"/>
  <c r="BT12" i="30" s="1"/>
  <c r="AG5" i="29"/>
  <c r="AM5" i="29"/>
  <c r="AN5" i="29" s="1"/>
  <c r="AO5" i="29" s="1"/>
  <c r="AB5" i="29"/>
  <c r="AE5" i="29" s="1"/>
  <c r="AF5" i="29" s="1"/>
  <c r="AB12" i="30"/>
  <c r="AC12" i="30" s="1"/>
  <c r="AL12" i="30" s="1"/>
  <c r="CT12" i="30"/>
  <c r="CW12" i="30" s="1"/>
  <c r="DY12" i="30"/>
  <c r="EB12" i="30" s="1"/>
  <c r="EC12" i="30" s="1"/>
  <c r="ED12" i="30" s="1"/>
  <c r="BG12" i="30"/>
  <c r="AB5" i="33"/>
  <c r="BG5" i="33"/>
  <c r="BJ5" i="33" s="1"/>
  <c r="BW5" i="33" s="1"/>
  <c r="AB5" i="34"/>
  <c r="AE5" i="34" s="1"/>
  <c r="BR5" i="34"/>
  <c r="BS5" i="34" s="1"/>
  <c r="BT5" i="34" s="1"/>
  <c r="BL5" i="34"/>
  <c r="AG5" i="34"/>
  <c r="AN5" i="34"/>
  <c r="AO5" i="34" s="1"/>
  <c r="BL5" i="33"/>
  <c r="BL12" i="30"/>
  <c r="AM12" i="30"/>
  <c r="AN12" i="30" s="1"/>
  <c r="AO12" i="30" s="1"/>
  <c r="AJ5" i="5"/>
  <c r="AJ44" i="5"/>
  <c r="AJ36" i="5"/>
  <c r="AJ28" i="5"/>
  <c r="AJ20" i="5"/>
  <c r="AJ12" i="5"/>
  <c r="AJ51" i="5"/>
  <c r="AJ43" i="5"/>
  <c r="AJ35" i="5"/>
  <c r="AJ27" i="5"/>
  <c r="AJ19" i="5"/>
  <c r="AJ11" i="5"/>
  <c r="AJ50" i="5"/>
  <c r="AJ42" i="5"/>
  <c r="AJ34" i="5"/>
  <c r="AJ26" i="5"/>
  <c r="AJ18" i="5"/>
  <c r="AJ10" i="5"/>
  <c r="AJ49" i="5"/>
  <c r="AJ41" i="5"/>
  <c r="AJ33" i="5"/>
  <c r="AJ25" i="5"/>
  <c r="AJ17" i="5"/>
  <c r="AJ9" i="5"/>
  <c r="AJ48" i="5"/>
  <c r="AJ40" i="5"/>
  <c r="AJ32" i="5"/>
  <c r="AJ24" i="5"/>
  <c r="AJ16" i="5"/>
  <c r="AJ8" i="5"/>
  <c r="AJ47" i="5"/>
  <c r="AJ39" i="5"/>
  <c r="AJ31" i="5"/>
  <c r="AJ23" i="5"/>
  <c r="AJ15" i="5"/>
  <c r="AJ7" i="5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Z5" i="5"/>
  <c r="AB5" i="5" s="1"/>
  <c r="Z6" i="5"/>
  <c r="AB6" i="5" s="1"/>
  <c r="Z7" i="5"/>
  <c r="AB7" i="5" s="1"/>
  <c r="Z8" i="5"/>
  <c r="AB8" i="5" s="1"/>
  <c r="Z9" i="5"/>
  <c r="AB9" i="5" s="1"/>
  <c r="Z10" i="5"/>
  <c r="AB10" i="5" s="1"/>
  <c r="Z11" i="5"/>
  <c r="AB11" i="5" s="1"/>
  <c r="Z12" i="5"/>
  <c r="AB12" i="5" s="1"/>
  <c r="Z13" i="5"/>
  <c r="AB13" i="5" s="1"/>
  <c r="Z14" i="5"/>
  <c r="AB14" i="5" s="1"/>
  <c r="Z15" i="5"/>
  <c r="AB15" i="5" s="1"/>
  <c r="Z16" i="5"/>
  <c r="AB16" i="5" s="1"/>
  <c r="Z17" i="5"/>
  <c r="AB17" i="5" s="1"/>
  <c r="Z18" i="5"/>
  <c r="AB18" i="5" s="1"/>
  <c r="Z19" i="5"/>
  <c r="AB19" i="5" s="1"/>
  <c r="Z20" i="5"/>
  <c r="AB20" i="5" s="1"/>
  <c r="Z21" i="5"/>
  <c r="AB21" i="5" s="1"/>
  <c r="Z22" i="5"/>
  <c r="AB22" i="5" s="1"/>
  <c r="Z23" i="5"/>
  <c r="AB23" i="5" s="1"/>
  <c r="Z24" i="5"/>
  <c r="AB24" i="5" s="1"/>
  <c r="Z25" i="5"/>
  <c r="AB25" i="5" s="1"/>
  <c r="Z26" i="5"/>
  <c r="AB26" i="5" s="1"/>
  <c r="Z27" i="5"/>
  <c r="AB27" i="5" s="1"/>
  <c r="Z28" i="5"/>
  <c r="AB28" i="5" s="1"/>
  <c r="Z29" i="5"/>
  <c r="AB29" i="5" s="1"/>
  <c r="Z30" i="5"/>
  <c r="AB30" i="5" s="1"/>
  <c r="Z31" i="5"/>
  <c r="AB31" i="5" s="1"/>
  <c r="Z32" i="5"/>
  <c r="AB32" i="5" s="1"/>
  <c r="Z33" i="5"/>
  <c r="AB33" i="5" s="1"/>
  <c r="Z34" i="5"/>
  <c r="AB34" i="5" s="1"/>
  <c r="Z35" i="5"/>
  <c r="AB35" i="5" s="1"/>
  <c r="Z36" i="5"/>
  <c r="AB36" i="5" s="1"/>
  <c r="Z37" i="5"/>
  <c r="AB37" i="5" s="1"/>
  <c r="Z38" i="5"/>
  <c r="AB38" i="5" s="1"/>
  <c r="Z39" i="5"/>
  <c r="AB39" i="5" s="1"/>
  <c r="Z40" i="5"/>
  <c r="AB40" i="5" s="1"/>
  <c r="Z41" i="5"/>
  <c r="AB41" i="5" s="1"/>
  <c r="Z42" i="5"/>
  <c r="AB42" i="5" s="1"/>
  <c r="Z43" i="5"/>
  <c r="AB43" i="5" s="1"/>
  <c r="Z44" i="5"/>
  <c r="AB44" i="5" s="1"/>
  <c r="Z45" i="5"/>
  <c r="AB45" i="5" s="1"/>
  <c r="Z46" i="5"/>
  <c r="AB46" i="5" s="1"/>
  <c r="Z47" i="5"/>
  <c r="AB47" i="5" s="1"/>
  <c r="Z48" i="5"/>
  <c r="AB48" i="5" s="1"/>
  <c r="Z49" i="5"/>
  <c r="AB49" i="5" s="1"/>
  <c r="Z50" i="5"/>
  <c r="AB50" i="5" s="1"/>
  <c r="Z51" i="5"/>
  <c r="AB51" i="5" s="1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U45" i="5" s="1"/>
  <c r="T46" i="5"/>
  <c r="T47" i="5"/>
  <c r="T48" i="5"/>
  <c r="U48" i="5" s="1"/>
  <c r="T49" i="5"/>
  <c r="T50" i="5"/>
  <c r="T51" i="5"/>
  <c r="EG23" i="30" l="1"/>
  <c r="DD39" i="30"/>
  <c r="DS23" i="30"/>
  <c r="AF29" i="30"/>
  <c r="AV29" i="30"/>
  <c r="AR29" i="30"/>
  <c r="AT29" i="30" s="1"/>
  <c r="AU29" i="30" s="1"/>
  <c r="DD16" i="30"/>
  <c r="EK32" i="30"/>
  <c r="EK57" i="30"/>
  <c r="EG57" i="30"/>
  <c r="EI57" i="30" s="1"/>
  <c r="EJ57" i="30" s="1"/>
  <c r="CM21" i="30"/>
  <c r="CO21" i="30"/>
  <c r="DE43" i="30"/>
  <c r="AC17" i="30"/>
  <c r="AU28" i="30"/>
  <c r="BL44" i="30"/>
  <c r="CO13" i="30"/>
  <c r="DR23" i="30"/>
  <c r="EA23" i="30" s="1"/>
  <c r="DR13" i="30"/>
  <c r="EL57" i="30"/>
  <c r="EL17" i="30"/>
  <c r="DU32" i="30"/>
  <c r="AC18" i="30"/>
  <c r="AL18" i="30" s="1"/>
  <c r="AS36" i="30"/>
  <c r="EK23" i="30"/>
  <c r="EE23" i="30"/>
  <c r="DR53" i="30"/>
  <c r="EA53" i="30" s="1"/>
  <c r="AS14" i="30"/>
  <c r="DS17" i="30"/>
  <c r="EA17" i="30" s="1"/>
  <c r="CQ35" i="30"/>
  <c r="EF57" i="30"/>
  <c r="EH57" i="30" s="1"/>
  <c r="AF26" i="30"/>
  <c r="AV26" i="30"/>
  <c r="AR26" i="30"/>
  <c r="AD55" i="30"/>
  <c r="AL55" i="30" s="1"/>
  <c r="AQ55" i="30"/>
  <c r="AS55" i="30" s="1"/>
  <c r="AW55" i="30"/>
  <c r="DD35" i="30"/>
  <c r="DE35" i="30" s="1"/>
  <c r="AE25" i="30"/>
  <c r="BZ45" i="30"/>
  <c r="DC35" i="30"/>
  <c r="DT53" i="30"/>
  <c r="AS39" i="30"/>
  <c r="CZ13" i="30"/>
  <c r="AD50" i="30"/>
  <c r="AQ50" i="30"/>
  <c r="AS50" i="30" s="1"/>
  <c r="AW50" i="30"/>
  <c r="AF18" i="30"/>
  <c r="AR18" i="30"/>
  <c r="AV18" i="30"/>
  <c r="BU20" i="30"/>
  <c r="AT45" i="30"/>
  <c r="AU45" i="30" s="1"/>
  <c r="AP18" i="30"/>
  <c r="AP26" i="30"/>
  <c r="BU15" i="34"/>
  <c r="AC18" i="34"/>
  <c r="AL18" i="34" s="1"/>
  <c r="AS31" i="34"/>
  <c r="BU23" i="34"/>
  <c r="AT16" i="34"/>
  <c r="AU16" i="34" s="1"/>
  <c r="AP26" i="34"/>
  <c r="AP18" i="34"/>
  <c r="AF20" i="34"/>
  <c r="AQ20" i="34" s="1"/>
  <c r="AS20" i="34" s="1"/>
  <c r="BJ38" i="34"/>
  <c r="BU31" i="34"/>
  <c r="AC26" i="34"/>
  <c r="AS47" i="34"/>
  <c r="AQ52" i="34"/>
  <c r="AC20" i="34"/>
  <c r="AL20" i="34" s="1"/>
  <c r="AG51" i="34"/>
  <c r="BH16" i="34"/>
  <c r="BQ16" i="34" s="1"/>
  <c r="BL10" i="34"/>
  <c r="BL27" i="34"/>
  <c r="AV52" i="34"/>
  <c r="CD52" i="34" s="1"/>
  <c r="AW52" i="34"/>
  <c r="CE52" i="34" s="1"/>
  <c r="AS23" i="34"/>
  <c r="BH7" i="34"/>
  <c r="BQ7" i="34" s="1"/>
  <c r="BJ16" i="34"/>
  <c r="BK16" i="34" s="1"/>
  <c r="AF39" i="34"/>
  <c r="AR39" i="34"/>
  <c r="AV39" i="34"/>
  <c r="BJ7" i="34"/>
  <c r="AC29" i="33"/>
  <c r="CB12" i="33"/>
  <c r="CD12" i="33" s="1"/>
  <c r="AV10" i="33"/>
  <c r="AE34" i="33"/>
  <c r="AF10" i="33"/>
  <c r="AP29" i="33"/>
  <c r="AE47" i="33"/>
  <c r="AT9" i="33"/>
  <c r="BJ10" i="33"/>
  <c r="BX45" i="33"/>
  <c r="AP34" i="33"/>
  <c r="AD7" i="33"/>
  <c r="AL7" i="33" s="1"/>
  <c r="AQ7" i="33"/>
  <c r="AW7" i="33"/>
  <c r="BY12" i="33"/>
  <c r="BZ12" i="33" s="1"/>
  <c r="AC7" i="33"/>
  <c r="BH32" i="33"/>
  <c r="BQ32" i="33" s="1"/>
  <c r="BU43" i="33"/>
  <c r="BU21" i="33"/>
  <c r="BY21" i="33" s="1"/>
  <c r="BZ21" i="33" s="1"/>
  <c r="BJ32" i="33"/>
  <c r="AT26" i="33"/>
  <c r="AS36" i="33"/>
  <c r="BU50" i="33"/>
  <c r="CC9" i="33"/>
  <c r="BU47" i="33"/>
  <c r="CA17" i="33"/>
  <c r="AR7" i="33"/>
  <c r="BH47" i="33"/>
  <c r="BQ47" i="33" s="1"/>
  <c r="BH43" i="33"/>
  <c r="BQ43" i="33" s="1"/>
  <c r="BV9" i="33"/>
  <c r="BX9" i="33" s="1"/>
  <c r="BJ50" i="33"/>
  <c r="AV7" i="33"/>
  <c r="BH6" i="34"/>
  <c r="AF32" i="34"/>
  <c r="AR32" i="34"/>
  <c r="AV32" i="34"/>
  <c r="AD15" i="34"/>
  <c r="BX52" i="34"/>
  <c r="AS48" i="34"/>
  <c r="BU33" i="34"/>
  <c r="AQ15" i="34"/>
  <c r="AS15" i="34" s="1"/>
  <c r="BH15" i="34"/>
  <c r="BQ15" i="34" s="1"/>
  <c r="BU40" i="34"/>
  <c r="AT48" i="34"/>
  <c r="AC21" i="34"/>
  <c r="AE21" i="34"/>
  <c r="BW50" i="34"/>
  <c r="BY50" i="34" s="1"/>
  <c r="CA50" i="34"/>
  <c r="BK50" i="34"/>
  <c r="BJ15" i="34"/>
  <c r="BV12" i="34"/>
  <c r="BX12" i="34" s="1"/>
  <c r="CE12" i="34"/>
  <c r="AP45" i="34"/>
  <c r="BI12" i="34"/>
  <c r="AF37" i="34"/>
  <c r="AV37" i="34"/>
  <c r="AR37" i="34"/>
  <c r="AT37" i="34" s="1"/>
  <c r="AU37" i="34" s="1"/>
  <c r="AP42" i="34"/>
  <c r="AT32" i="34"/>
  <c r="AU32" i="34" s="1"/>
  <c r="AE45" i="34"/>
  <c r="AC45" i="34"/>
  <c r="BU43" i="34"/>
  <c r="DD18" i="30"/>
  <c r="DE18" i="30" s="1"/>
  <c r="AT21" i="30"/>
  <c r="AD42" i="30"/>
  <c r="AW42" i="30"/>
  <c r="AQ42" i="30"/>
  <c r="AS42" i="30" s="1"/>
  <c r="DB32" i="30"/>
  <c r="DD32" i="30" s="1"/>
  <c r="DE32" i="30" s="1"/>
  <c r="DV24" i="30"/>
  <c r="CP18" i="30"/>
  <c r="DB18" i="30"/>
  <c r="BJ36" i="30"/>
  <c r="BH36" i="30"/>
  <c r="BQ36" i="30" s="1"/>
  <c r="BU36" i="30"/>
  <c r="BU42" i="30"/>
  <c r="DF32" i="30"/>
  <c r="CN27" i="30"/>
  <c r="DA27" i="30"/>
  <c r="DC27" i="30" s="1"/>
  <c r="DG27" i="30"/>
  <c r="CN51" i="30"/>
  <c r="DA51" i="30"/>
  <c r="DC51" i="30" s="1"/>
  <c r="DG51" i="30"/>
  <c r="BL28" i="30"/>
  <c r="BR28" i="30"/>
  <c r="BS28" i="30" s="1"/>
  <c r="BT28" i="30" s="1"/>
  <c r="BU28" i="30" s="1"/>
  <c r="DU25" i="30"/>
  <c r="EG25" i="30"/>
  <c r="EI25" i="30" s="1"/>
  <c r="EJ25" i="30" s="1"/>
  <c r="EK25" i="30"/>
  <c r="DE16" i="30"/>
  <c r="AF20" i="30"/>
  <c r="AR20" i="30"/>
  <c r="AV20" i="30"/>
  <c r="AP25" i="30"/>
  <c r="AP17" i="30"/>
  <c r="BH20" i="30"/>
  <c r="BQ20" i="30" s="1"/>
  <c r="BJ20" i="30"/>
  <c r="AP49" i="30"/>
  <c r="BK38" i="30"/>
  <c r="CA38" i="30"/>
  <c r="BW38" i="30"/>
  <c r="AR52" i="30"/>
  <c r="AT52" i="30" s="1"/>
  <c r="AV52" i="30"/>
  <c r="AF52" i="30"/>
  <c r="BH52" i="30"/>
  <c r="BJ52" i="30"/>
  <c r="CN59" i="30"/>
  <c r="DG59" i="30"/>
  <c r="AD34" i="30"/>
  <c r="AW34" i="30"/>
  <c r="AQ34" i="30"/>
  <c r="AS34" i="30" s="1"/>
  <c r="AU55" i="30"/>
  <c r="CQ59" i="30"/>
  <c r="AS46" i="29"/>
  <c r="AS29" i="29"/>
  <c r="AL12" i="29"/>
  <c r="AT35" i="29"/>
  <c r="AU35" i="29" s="1"/>
  <c r="AD20" i="29"/>
  <c r="AW20" i="29"/>
  <c r="AQ20" i="29"/>
  <c r="AS20" i="29" s="1"/>
  <c r="AF13" i="29"/>
  <c r="AV13" i="29"/>
  <c r="AR13" i="29"/>
  <c r="AT13" i="29" s="1"/>
  <c r="AU13" i="29" s="1"/>
  <c r="AG45" i="29"/>
  <c r="AT43" i="29"/>
  <c r="AU43" i="29" s="1"/>
  <c r="AT46" i="29"/>
  <c r="AF21" i="29"/>
  <c r="AV21" i="29"/>
  <c r="AR21" i="29"/>
  <c r="AT21" i="29" s="1"/>
  <c r="AU51" i="29"/>
  <c r="AS14" i="29"/>
  <c r="AE16" i="29"/>
  <c r="AP16" i="29"/>
  <c r="AT14" i="29"/>
  <c r="AF45" i="29"/>
  <c r="AV45" i="29"/>
  <c r="AR45" i="29"/>
  <c r="AT45" i="29" s="1"/>
  <c r="BI20" i="34"/>
  <c r="CB20" i="34"/>
  <c r="BV20" i="34"/>
  <c r="BX20" i="34" s="1"/>
  <c r="BZ45" i="33"/>
  <c r="AC39" i="33"/>
  <c r="BK14" i="33"/>
  <c r="CB14" i="33"/>
  <c r="CD14" i="33" s="1"/>
  <c r="BW14" i="33"/>
  <c r="AE51" i="33"/>
  <c r="BH51" i="33"/>
  <c r="BQ51" i="33" s="1"/>
  <c r="BH40" i="33"/>
  <c r="BQ40" i="33" s="1"/>
  <c r="BU39" i="33"/>
  <c r="BY39" i="33" s="1"/>
  <c r="BZ39" i="33" s="1"/>
  <c r="AD44" i="33"/>
  <c r="AL44" i="33" s="1"/>
  <c r="AQ44" i="33"/>
  <c r="AS44" i="33" s="1"/>
  <c r="AW44" i="33"/>
  <c r="AD49" i="33"/>
  <c r="AL49" i="33" s="1"/>
  <c r="AQ49" i="33"/>
  <c r="AS49" i="33" s="1"/>
  <c r="AU49" i="33" s="1"/>
  <c r="AW49" i="33"/>
  <c r="AV28" i="33"/>
  <c r="AR28" i="33"/>
  <c r="AT28" i="33" s="1"/>
  <c r="AF28" i="33"/>
  <c r="BU40" i="33"/>
  <c r="BU48" i="33"/>
  <c r="BU31" i="33"/>
  <c r="BU51" i="33"/>
  <c r="BJ11" i="33"/>
  <c r="BH11" i="33"/>
  <c r="BQ11" i="33" s="1"/>
  <c r="BK46" i="33"/>
  <c r="BW46" i="33"/>
  <c r="BY46" i="33" s="1"/>
  <c r="BZ46" i="33" s="1"/>
  <c r="CB46" i="33"/>
  <c r="CD46" i="33" s="1"/>
  <c r="AF16" i="33"/>
  <c r="AR16" i="33"/>
  <c r="AT16" i="33" s="1"/>
  <c r="AV16" i="33"/>
  <c r="AF18" i="33"/>
  <c r="AR18" i="33"/>
  <c r="AT18" i="33" s="1"/>
  <c r="AV18" i="33"/>
  <c r="AR50" i="33"/>
  <c r="AT50" i="33" s="1"/>
  <c r="AF50" i="33"/>
  <c r="AV50" i="33"/>
  <c r="AF34" i="33"/>
  <c r="AR34" i="33"/>
  <c r="AT34" i="33" s="1"/>
  <c r="AV34" i="33"/>
  <c r="AT36" i="33"/>
  <c r="AP11" i="33"/>
  <c r="CB19" i="33"/>
  <c r="CD19" i="33" s="1"/>
  <c r="BK19" i="33"/>
  <c r="BW19" i="33"/>
  <c r="BY19" i="33" s="1"/>
  <c r="BZ19" i="33" s="1"/>
  <c r="BK29" i="33"/>
  <c r="CB29" i="33"/>
  <c r="CD29" i="33" s="1"/>
  <c r="BW29" i="33"/>
  <c r="BY29" i="33" s="1"/>
  <c r="BZ29" i="33" s="1"/>
  <c r="BW25" i="33"/>
  <c r="BY25" i="33" s="1"/>
  <c r="BZ25" i="33" s="1"/>
  <c r="CA25" i="33" s="1"/>
  <c r="CB25" i="33"/>
  <c r="CD25" i="33" s="1"/>
  <c r="AD33" i="33"/>
  <c r="AL33" i="33" s="1"/>
  <c r="AQ33" i="33"/>
  <c r="AS33" i="33" s="1"/>
  <c r="AW33" i="33"/>
  <c r="BK51" i="33"/>
  <c r="BW51" i="33"/>
  <c r="CB51" i="33"/>
  <c r="CD51" i="33" s="1"/>
  <c r="AS26" i="33"/>
  <c r="AU26" i="33" s="1"/>
  <c r="AF8" i="33"/>
  <c r="AV8" i="33"/>
  <c r="AR8" i="33"/>
  <c r="AT8" i="33" s="1"/>
  <c r="BJ27" i="33"/>
  <c r="BH27" i="33"/>
  <c r="BQ27" i="33" s="1"/>
  <c r="AV24" i="33"/>
  <c r="AF24" i="33"/>
  <c r="AR24" i="33"/>
  <c r="AT24" i="33" s="1"/>
  <c r="AR32" i="33"/>
  <c r="AT32" i="33" s="1"/>
  <c r="AV32" i="33"/>
  <c r="AF32" i="33"/>
  <c r="AT12" i="33"/>
  <c r="AP51" i="33"/>
  <c r="BU23" i="33"/>
  <c r="BJ23" i="33"/>
  <c r="AR42" i="33"/>
  <c r="AT42" i="33" s="1"/>
  <c r="BJ35" i="33"/>
  <c r="BH35" i="33"/>
  <c r="BQ35" i="33" s="1"/>
  <c r="AD36" i="33"/>
  <c r="AL36" i="33" s="1"/>
  <c r="AW36" i="33"/>
  <c r="AF20" i="33"/>
  <c r="AR20" i="33"/>
  <c r="AV20" i="33"/>
  <c r="BK33" i="33"/>
  <c r="BW33" i="33"/>
  <c r="BY33" i="33" s="1"/>
  <c r="BZ33" i="33" s="1"/>
  <c r="CB33" i="33"/>
  <c r="CD33" i="33" s="1"/>
  <c r="AF42" i="33"/>
  <c r="AW42" i="33" s="1"/>
  <c r="AC23" i="33"/>
  <c r="BK43" i="33"/>
  <c r="BW43" i="33"/>
  <c r="BY43" i="33" s="1"/>
  <c r="BZ43" i="33" s="1"/>
  <c r="CB43" i="33"/>
  <c r="CD43" i="33" s="1"/>
  <c r="BK21" i="33"/>
  <c r="CB21" i="33"/>
  <c r="CD21" i="33" s="1"/>
  <c r="AP19" i="33"/>
  <c r="AF48" i="33"/>
  <c r="AV48" i="33"/>
  <c r="AR48" i="33"/>
  <c r="AT48" i="33" s="1"/>
  <c r="AD41" i="33"/>
  <c r="AL41" i="33" s="1"/>
  <c r="AQ41" i="33"/>
  <c r="AS41" i="33" s="1"/>
  <c r="AW41" i="33"/>
  <c r="AF12" i="33"/>
  <c r="AR12" i="33"/>
  <c r="AV12" i="33"/>
  <c r="BI49" i="33"/>
  <c r="BV49" i="33"/>
  <c r="BX49" i="33" s="1"/>
  <c r="CC49" i="33"/>
  <c r="AU9" i="33"/>
  <c r="AG23" i="33"/>
  <c r="AM23" i="33"/>
  <c r="AN23" i="33" s="1"/>
  <c r="AO23" i="33" s="1"/>
  <c r="AP23" i="33" s="1"/>
  <c r="AF39" i="33"/>
  <c r="AR39" i="33"/>
  <c r="AV39" i="33"/>
  <c r="BU15" i="33"/>
  <c r="AG39" i="33"/>
  <c r="AM39" i="33"/>
  <c r="AN39" i="33" s="1"/>
  <c r="AO39" i="33" s="1"/>
  <c r="AP39" i="33" s="1"/>
  <c r="AT39" i="33" s="1"/>
  <c r="BH31" i="33"/>
  <c r="BQ31" i="33" s="1"/>
  <c r="BJ31" i="33"/>
  <c r="BY49" i="33"/>
  <c r="BZ49" i="33" s="1"/>
  <c r="BH7" i="33"/>
  <c r="BQ7" i="33" s="1"/>
  <c r="BJ7" i="33"/>
  <c r="AG47" i="33"/>
  <c r="AM47" i="33"/>
  <c r="AN47" i="33" s="1"/>
  <c r="AO47" i="33" s="1"/>
  <c r="AP47" i="33" s="1"/>
  <c r="AF40" i="33"/>
  <c r="AR40" i="33"/>
  <c r="AT40" i="33" s="1"/>
  <c r="AV40" i="33"/>
  <c r="AP15" i="33"/>
  <c r="AD42" i="33"/>
  <c r="AL42" i="33" s="1"/>
  <c r="AQ42" i="33"/>
  <c r="AS42" i="33" s="1"/>
  <c r="AU42" i="33" s="1"/>
  <c r="CA42" i="33" s="1"/>
  <c r="AF15" i="33"/>
  <c r="AR15" i="33"/>
  <c r="AV15" i="33"/>
  <c r="BK30" i="33"/>
  <c r="CB30" i="33"/>
  <c r="CD30" i="33" s="1"/>
  <c r="BW30" i="33"/>
  <c r="AD10" i="33"/>
  <c r="AL10" i="33" s="1"/>
  <c r="AW10" i="33"/>
  <c r="AQ10" i="33"/>
  <c r="AS10" i="33" s="1"/>
  <c r="BK38" i="33"/>
  <c r="CB38" i="33"/>
  <c r="CD38" i="33" s="1"/>
  <c r="AT31" i="33"/>
  <c r="BW47" i="33"/>
  <c r="BW15" i="33"/>
  <c r="BK15" i="33"/>
  <c r="CB15" i="33"/>
  <c r="CD15" i="33" s="1"/>
  <c r="AD31" i="33"/>
  <c r="AL31" i="33" s="1"/>
  <c r="AQ31" i="33"/>
  <c r="AS31" i="33" s="1"/>
  <c r="AW31" i="33"/>
  <c r="AG7" i="33"/>
  <c r="AM7" i="33"/>
  <c r="AN7" i="33" s="1"/>
  <c r="AO7" i="33" s="1"/>
  <c r="AP7" i="33" s="1"/>
  <c r="AT7" i="33" s="1"/>
  <c r="AT20" i="33"/>
  <c r="BK47" i="33"/>
  <c r="BI47" i="33" s="1"/>
  <c r="AF23" i="33"/>
  <c r="AR23" i="33"/>
  <c r="AV23" i="33"/>
  <c r="AF47" i="33"/>
  <c r="AR47" i="33"/>
  <c r="AV47" i="33"/>
  <c r="BK39" i="34"/>
  <c r="BW39" i="34"/>
  <c r="CA39" i="34"/>
  <c r="CD39" i="34" s="1"/>
  <c r="BW47" i="34"/>
  <c r="BK47" i="34"/>
  <c r="BI47" i="34" s="1"/>
  <c r="CA47" i="34"/>
  <c r="CD47" i="34" s="1"/>
  <c r="AU48" i="34"/>
  <c r="AS13" i="34"/>
  <c r="AT13" i="34"/>
  <c r="AU13" i="34" s="1"/>
  <c r="AD48" i="34"/>
  <c r="AL48" i="34" s="1"/>
  <c r="BJ31" i="34"/>
  <c r="AU7" i="34"/>
  <c r="BU22" i="34"/>
  <c r="BH23" i="34"/>
  <c r="BQ23" i="34" s="1"/>
  <c r="BU41" i="34"/>
  <c r="AT31" i="34"/>
  <c r="AU31" i="34" s="1"/>
  <c r="AT40" i="34"/>
  <c r="AU40" i="34" s="1"/>
  <c r="AF28" i="34"/>
  <c r="AR28" i="34"/>
  <c r="AV28" i="34"/>
  <c r="CD28" i="34" s="1"/>
  <c r="BH46" i="34"/>
  <c r="BQ46" i="34" s="1"/>
  <c r="BJ46" i="34"/>
  <c r="BJ23" i="34"/>
  <c r="BW23" i="34" s="1"/>
  <c r="BY23" i="34" s="1"/>
  <c r="BJ9" i="34"/>
  <c r="BH9" i="34"/>
  <c r="BQ9" i="34" s="1"/>
  <c r="BK44" i="34"/>
  <c r="CA44" i="34"/>
  <c r="CD44" i="34" s="1"/>
  <c r="BW44" i="34"/>
  <c r="BY44" i="34" s="1"/>
  <c r="BZ44" i="34" s="1"/>
  <c r="BU49" i="34"/>
  <c r="AR6" i="34"/>
  <c r="AT6" i="34" s="1"/>
  <c r="AV6" i="34"/>
  <c r="AF6" i="34"/>
  <c r="BU39" i="34"/>
  <c r="BY39" i="34" s="1"/>
  <c r="BH24" i="34"/>
  <c r="BQ24" i="34" s="1"/>
  <c r="BK17" i="34"/>
  <c r="BW17" i="34"/>
  <c r="CA17" i="34"/>
  <c r="AE29" i="34"/>
  <c r="AC29" i="34"/>
  <c r="AL29" i="34" s="1"/>
  <c r="BU17" i="34"/>
  <c r="AR14" i="34"/>
  <c r="AV14" i="34"/>
  <c r="AF14" i="34"/>
  <c r="BU25" i="34"/>
  <c r="AP28" i="34"/>
  <c r="AS24" i="34"/>
  <c r="BJ24" i="34"/>
  <c r="BK25" i="34"/>
  <c r="BW25" i="34"/>
  <c r="CA25" i="34"/>
  <c r="AT8" i="34"/>
  <c r="AU8" i="34" s="1"/>
  <c r="AS8" i="34"/>
  <c r="AS22" i="34"/>
  <c r="BU47" i="34"/>
  <c r="BU6" i="34"/>
  <c r="BU46" i="34"/>
  <c r="AQ16" i="34"/>
  <c r="AS16" i="34" s="1"/>
  <c r="AW16" i="34"/>
  <c r="AF38" i="34"/>
  <c r="AR38" i="34"/>
  <c r="AV38" i="34"/>
  <c r="BJ33" i="34"/>
  <c r="BH33" i="34"/>
  <c r="BQ33" i="34" s="1"/>
  <c r="AG14" i="34"/>
  <c r="AM14" i="34"/>
  <c r="AN14" i="34" s="1"/>
  <c r="AO14" i="34" s="1"/>
  <c r="AP14" i="34" s="1"/>
  <c r="AT14" i="34" s="1"/>
  <c r="AQ30" i="34"/>
  <c r="AS30" i="34" s="1"/>
  <c r="AD30" i="34"/>
  <c r="AW30" i="34"/>
  <c r="BH30" i="34"/>
  <c r="BQ30" i="34" s="1"/>
  <c r="BJ30" i="34"/>
  <c r="BU38" i="34"/>
  <c r="BH49" i="34"/>
  <c r="BJ49" i="34"/>
  <c r="AC28" i="34"/>
  <c r="AL28" i="34" s="1"/>
  <c r="AG11" i="34"/>
  <c r="BH41" i="34"/>
  <c r="BJ41" i="34"/>
  <c r="AG38" i="34"/>
  <c r="AM38" i="34"/>
  <c r="AN38" i="34" s="1"/>
  <c r="AO38" i="34" s="1"/>
  <c r="AP38" i="34" s="1"/>
  <c r="BR48" i="34"/>
  <c r="BS48" i="34" s="1"/>
  <c r="BT48" i="34" s="1"/>
  <c r="BU48" i="34" s="1"/>
  <c r="BL48" i="34"/>
  <c r="BU14" i="34"/>
  <c r="AU13" i="30"/>
  <c r="CP42" i="30"/>
  <c r="DB42" i="30"/>
  <c r="DF42" i="30"/>
  <c r="AR53" i="30"/>
  <c r="AT53" i="30" s="1"/>
  <c r="AU53" i="30" s="1"/>
  <c r="AV53" i="30"/>
  <c r="AF53" i="30"/>
  <c r="BQ47" i="30"/>
  <c r="DE53" i="30"/>
  <c r="DE39" i="30"/>
  <c r="AS45" i="30"/>
  <c r="EE26" i="30"/>
  <c r="BX15" i="30"/>
  <c r="BZ15" i="30" s="1"/>
  <c r="DD48" i="30"/>
  <c r="AT37" i="30"/>
  <c r="AU37" i="30" s="1"/>
  <c r="AS37" i="30"/>
  <c r="AW21" i="30"/>
  <c r="AD21" i="30"/>
  <c r="AL21" i="30" s="1"/>
  <c r="AQ21" i="30"/>
  <c r="AD31" i="30"/>
  <c r="AQ31" i="30"/>
  <c r="AS31" i="30" s="1"/>
  <c r="AW31" i="30"/>
  <c r="AT20" i="30"/>
  <c r="AU20" i="30" s="1"/>
  <c r="AS21" i="30"/>
  <c r="AU31" i="30"/>
  <c r="AF30" i="29"/>
  <c r="AV30" i="29"/>
  <c r="AR30" i="29"/>
  <c r="AD6" i="29"/>
  <c r="AW6" i="29"/>
  <c r="AQ6" i="29"/>
  <c r="AL14" i="29"/>
  <c r="AS35" i="29"/>
  <c r="AF15" i="29"/>
  <c r="AV15" i="29"/>
  <c r="AR15" i="29"/>
  <c r="AT15" i="29" s="1"/>
  <c r="AU15" i="29" s="1"/>
  <c r="AR38" i="29"/>
  <c r="AF38" i="29"/>
  <c r="AV38" i="29"/>
  <c r="AG6" i="29"/>
  <c r="AM6" i="29"/>
  <c r="AN6" i="29" s="1"/>
  <c r="AO6" i="29" s="1"/>
  <c r="AP6" i="29" s="1"/>
  <c r="AP30" i="29"/>
  <c r="AC30" i="29"/>
  <c r="AL30" i="29" s="1"/>
  <c r="AC38" i="29"/>
  <c r="AL38" i="29" s="1"/>
  <c r="AU19" i="29"/>
  <c r="AF31" i="29"/>
  <c r="AV31" i="29"/>
  <c r="AR31" i="29"/>
  <c r="AT31" i="29" s="1"/>
  <c r="AP38" i="29"/>
  <c r="AL6" i="29"/>
  <c r="AU27" i="29"/>
  <c r="AG22" i="29"/>
  <c r="AM22" i="29"/>
  <c r="AN22" i="29" s="1"/>
  <c r="AO22" i="29" s="1"/>
  <c r="AP22" i="29" s="1"/>
  <c r="AF51" i="33"/>
  <c r="AR51" i="33"/>
  <c r="AT51" i="33" s="1"/>
  <c r="AV51" i="33"/>
  <c r="CB28" i="33"/>
  <c r="CD28" i="33" s="1"/>
  <c r="BW28" i="33"/>
  <c r="BY28" i="33" s="1"/>
  <c r="BZ28" i="33" s="1"/>
  <c r="BK28" i="33"/>
  <c r="AF30" i="33"/>
  <c r="AR30" i="33"/>
  <c r="AT30" i="33" s="1"/>
  <c r="AV30" i="33"/>
  <c r="BY14" i="33"/>
  <c r="BZ14" i="33" s="1"/>
  <c r="BK37" i="33"/>
  <c r="BW37" i="33"/>
  <c r="BY37" i="33" s="1"/>
  <c r="BZ37" i="33" s="1"/>
  <c r="CB37" i="33"/>
  <c r="CD37" i="33" s="1"/>
  <c r="BK36" i="33"/>
  <c r="BW36" i="33"/>
  <c r="BY36" i="33" s="1"/>
  <c r="BZ36" i="33" s="1"/>
  <c r="CB36" i="33"/>
  <c r="CD36" i="33" s="1"/>
  <c r="BK18" i="33"/>
  <c r="CB18" i="33"/>
  <c r="CD18" i="33" s="1"/>
  <c r="BW18" i="33"/>
  <c r="BY18" i="33" s="1"/>
  <c r="BZ18" i="33" s="1"/>
  <c r="AF27" i="33"/>
  <c r="AR27" i="33"/>
  <c r="AT27" i="33" s="1"/>
  <c r="AV27" i="33"/>
  <c r="AF13" i="33"/>
  <c r="AR13" i="33"/>
  <c r="AT13" i="33" s="1"/>
  <c r="AV13" i="33"/>
  <c r="AF45" i="33"/>
  <c r="AR45" i="33"/>
  <c r="AT45" i="33" s="1"/>
  <c r="AV45" i="33"/>
  <c r="BX22" i="33"/>
  <c r="BY22" i="33"/>
  <c r="BZ22" i="33" s="1"/>
  <c r="BK32" i="33"/>
  <c r="BW32" i="33"/>
  <c r="BY32" i="33" s="1"/>
  <c r="CB32" i="33"/>
  <c r="CD32" i="33" s="1"/>
  <c r="AF38" i="33"/>
  <c r="AR38" i="33"/>
  <c r="AT38" i="33" s="1"/>
  <c r="AV38" i="33"/>
  <c r="BY30" i="33"/>
  <c r="BZ30" i="33" s="1"/>
  <c r="BK26" i="33"/>
  <c r="CB26" i="33"/>
  <c r="CD26" i="33" s="1"/>
  <c r="BW26" i="33"/>
  <c r="BY26" i="33" s="1"/>
  <c r="BZ26" i="33" s="1"/>
  <c r="BI12" i="33"/>
  <c r="CC12" i="33"/>
  <c r="BV12" i="33"/>
  <c r="BX12" i="33" s="1"/>
  <c r="AF35" i="33"/>
  <c r="AR35" i="33"/>
  <c r="AT35" i="33" s="1"/>
  <c r="AV35" i="33"/>
  <c r="AF21" i="33"/>
  <c r="AR21" i="33"/>
  <c r="AT21" i="33" s="1"/>
  <c r="AV21" i="33"/>
  <c r="BY38" i="33"/>
  <c r="BZ38" i="33" s="1"/>
  <c r="BI25" i="33"/>
  <c r="BV25" i="33"/>
  <c r="BX25" i="33" s="1"/>
  <c r="CC25" i="33"/>
  <c r="BK8" i="33"/>
  <c r="BW8" i="33"/>
  <c r="BY8" i="33" s="1"/>
  <c r="BZ8" i="33" s="1"/>
  <c r="CB8" i="33"/>
  <c r="CD8" i="33" s="1"/>
  <c r="BK40" i="33"/>
  <c r="BW40" i="33"/>
  <c r="BY40" i="33" s="1"/>
  <c r="BZ40" i="33" s="1"/>
  <c r="CB40" i="33"/>
  <c r="CD40" i="33" s="1"/>
  <c r="BK6" i="33"/>
  <c r="BW6" i="33"/>
  <c r="BY6" i="33" s="1"/>
  <c r="BZ6" i="33" s="1"/>
  <c r="CB6" i="33"/>
  <c r="CD6" i="33" s="1"/>
  <c r="BZ9" i="33"/>
  <c r="AF6" i="33"/>
  <c r="AV6" i="33"/>
  <c r="AR6" i="33"/>
  <c r="AT6" i="33" s="1"/>
  <c r="AF14" i="33"/>
  <c r="AR14" i="33"/>
  <c r="AT14" i="33" s="1"/>
  <c r="AV14" i="33"/>
  <c r="AF46" i="33"/>
  <c r="AR46" i="33"/>
  <c r="AT46" i="33" s="1"/>
  <c r="AV46" i="33"/>
  <c r="BK44" i="33"/>
  <c r="BW44" i="33"/>
  <c r="BY44" i="33" s="1"/>
  <c r="BZ44" i="33" s="1"/>
  <c r="CB44" i="33"/>
  <c r="CD44" i="33" s="1"/>
  <c r="AF11" i="33"/>
  <c r="AV11" i="33"/>
  <c r="AR11" i="33"/>
  <c r="AT11" i="33" s="1"/>
  <c r="AF43" i="33"/>
  <c r="AR43" i="33"/>
  <c r="AT43" i="33" s="1"/>
  <c r="AV43" i="33"/>
  <c r="AF29" i="33"/>
  <c r="AR29" i="33"/>
  <c r="AT29" i="33" s="1"/>
  <c r="AV29" i="33"/>
  <c r="BK16" i="33"/>
  <c r="BW16" i="33"/>
  <c r="BY16" i="33" s="1"/>
  <c r="BZ16" i="33" s="1"/>
  <c r="CB16" i="33"/>
  <c r="CD16" i="33" s="1"/>
  <c r="BK48" i="33"/>
  <c r="BW48" i="33"/>
  <c r="CB48" i="33"/>
  <c r="CD48" i="33" s="1"/>
  <c r="BK34" i="33"/>
  <c r="BW34" i="33"/>
  <c r="BY34" i="33" s="1"/>
  <c r="BZ34" i="33" s="1"/>
  <c r="CB34" i="33"/>
  <c r="CD34" i="33" s="1"/>
  <c r="AF22" i="33"/>
  <c r="AR22" i="33"/>
  <c r="AT22" i="33" s="1"/>
  <c r="AV22" i="33"/>
  <c r="BI39" i="33"/>
  <c r="BV39" i="33"/>
  <c r="CC39" i="33"/>
  <c r="BK20" i="33"/>
  <c r="CB20" i="33"/>
  <c r="CD20" i="33" s="1"/>
  <c r="BW20" i="33"/>
  <c r="BY20" i="33" s="1"/>
  <c r="BZ20" i="33" s="1"/>
  <c r="BK10" i="33"/>
  <c r="CB10" i="33"/>
  <c r="CD10" i="33" s="1"/>
  <c r="BW10" i="33"/>
  <c r="CB42" i="33"/>
  <c r="CD42" i="33" s="1"/>
  <c r="BK42" i="33"/>
  <c r="BW42" i="33"/>
  <c r="CB50" i="33"/>
  <c r="CD50" i="33" s="1"/>
  <c r="BW50" i="33"/>
  <c r="BY50" i="33" s="1"/>
  <c r="BZ50" i="33" s="1"/>
  <c r="BK50" i="33"/>
  <c r="AF19" i="33"/>
  <c r="AR19" i="33"/>
  <c r="AT19" i="33" s="1"/>
  <c r="AV19" i="33"/>
  <c r="AF37" i="33"/>
  <c r="AR37" i="33"/>
  <c r="AT37" i="33" s="1"/>
  <c r="AV37" i="33"/>
  <c r="BK13" i="33"/>
  <c r="BW13" i="33"/>
  <c r="BY13" i="33" s="1"/>
  <c r="BZ13" i="33" s="1"/>
  <c r="CB13" i="33"/>
  <c r="CD13" i="33" s="1"/>
  <c r="BY10" i="33"/>
  <c r="BZ10" i="33" s="1"/>
  <c r="BY42" i="33"/>
  <c r="BZ42" i="33" s="1"/>
  <c r="BW24" i="33"/>
  <c r="BY24" i="33" s="1"/>
  <c r="BZ24" i="33" s="1"/>
  <c r="BK24" i="33"/>
  <c r="CB24" i="33"/>
  <c r="CD24" i="33" s="1"/>
  <c r="AF49" i="34"/>
  <c r="AV49" i="34"/>
  <c r="AR49" i="34"/>
  <c r="AT49" i="34" s="1"/>
  <c r="AR34" i="34"/>
  <c r="AT34" i="34" s="1"/>
  <c r="AF34" i="34"/>
  <c r="AV34" i="34"/>
  <c r="CD34" i="34" s="1"/>
  <c r="AR42" i="34"/>
  <c r="AT42" i="34" s="1"/>
  <c r="AU42" i="34" s="1"/>
  <c r="AF42" i="34"/>
  <c r="AV42" i="34"/>
  <c r="CD42" i="34" s="1"/>
  <c r="AF25" i="34"/>
  <c r="AV25" i="34"/>
  <c r="AR25" i="34"/>
  <c r="AT25" i="34" s="1"/>
  <c r="AU25" i="34" s="1"/>
  <c r="AF11" i="34"/>
  <c r="AV11" i="34"/>
  <c r="CD11" i="34" s="1"/>
  <c r="AR11" i="34"/>
  <c r="AT11" i="34" s="1"/>
  <c r="AU11" i="34" s="1"/>
  <c r="AF43" i="34"/>
  <c r="AR43" i="34"/>
  <c r="AT43" i="34" s="1"/>
  <c r="AU43" i="34" s="1"/>
  <c r="AV43" i="34"/>
  <c r="BW26" i="34"/>
  <c r="BY26" i="34" s="1"/>
  <c r="BK26" i="34"/>
  <c r="CA26" i="34"/>
  <c r="BW21" i="34"/>
  <c r="BY21" i="34" s="1"/>
  <c r="BK21" i="34"/>
  <c r="CA21" i="34"/>
  <c r="BK6" i="34"/>
  <c r="CA6" i="34"/>
  <c r="CD6" i="34" s="1"/>
  <c r="BW6" i="34"/>
  <c r="BY6" i="34" s="1"/>
  <c r="BW40" i="34"/>
  <c r="BY40" i="34" s="1"/>
  <c r="BK40" i="34"/>
  <c r="CA40" i="34"/>
  <c r="CD40" i="34" s="1"/>
  <c r="BK27" i="34"/>
  <c r="CA27" i="34"/>
  <c r="BW27" i="34"/>
  <c r="BY27" i="34" s="1"/>
  <c r="BZ27" i="34" s="1"/>
  <c r="BK8" i="34"/>
  <c r="BW8" i="34"/>
  <c r="BY8" i="34" s="1"/>
  <c r="CA8" i="34"/>
  <c r="CD8" i="34" s="1"/>
  <c r="AR10" i="34"/>
  <c r="AT10" i="34" s="1"/>
  <c r="AF10" i="34"/>
  <c r="AV10" i="34"/>
  <c r="AT36" i="34"/>
  <c r="AS36" i="34"/>
  <c r="AF33" i="34"/>
  <c r="AV33" i="34"/>
  <c r="AR33" i="34"/>
  <c r="AT33" i="34" s="1"/>
  <c r="AU33" i="34" s="1"/>
  <c r="AF19" i="34"/>
  <c r="AV19" i="34"/>
  <c r="CD19" i="34" s="1"/>
  <c r="AR19" i="34"/>
  <c r="AT19" i="34" s="1"/>
  <c r="AU19" i="34" s="1"/>
  <c r="CC19" i="34" s="1"/>
  <c r="AF51" i="34"/>
  <c r="AR51" i="34"/>
  <c r="AT51" i="34" s="1"/>
  <c r="AU51" i="34" s="1"/>
  <c r="AV51" i="34"/>
  <c r="BW7" i="34"/>
  <c r="BY7" i="34" s="1"/>
  <c r="CA7" i="34"/>
  <c r="CD7" i="34" s="1"/>
  <c r="BK7" i="34"/>
  <c r="BW29" i="34"/>
  <c r="BY29" i="34" s="1"/>
  <c r="BZ29" i="34" s="1"/>
  <c r="BK29" i="34"/>
  <c r="CA29" i="34"/>
  <c r="BK14" i="34"/>
  <c r="CA14" i="34"/>
  <c r="BW14" i="34"/>
  <c r="BK38" i="34"/>
  <c r="BW38" i="34"/>
  <c r="BY38" i="34" s="1"/>
  <c r="BZ38" i="34" s="1"/>
  <c r="CA38" i="34"/>
  <c r="CD38" i="34" s="1"/>
  <c r="BY11" i="34"/>
  <c r="BZ11" i="34" s="1"/>
  <c r="BK35" i="34"/>
  <c r="CA35" i="34"/>
  <c r="BW35" i="34"/>
  <c r="BY35" i="34" s="1"/>
  <c r="BZ35" i="34" s="1"/>
  <c r="BI39" i="34"/>
  <c r="BQ39" i="34" s="1"/>
  <c r="BV39" i="34"/>
  <c r="CB39" i="34"/>
  <c r="AR18" i="34"/>
  <c r="AF18" i="34"/>
  <c r="AV18" i="34"/>
  <c r="BI11" i="34"/>
  <c r="CB11" i="34"/>
  <c r="BV11" i="34"/>
  <c r="BX11" i="34" s="1"/>
  <c r="BI42" i="34"/>
  <c r="BV42" i="34"/>
  <c r="BX42" i="34" s="1"/>
  <c r="CB42" i="34"/>
  <c r="BZ42" i="34"/>
  <c r="AR50" i="34"/>
  <c r="AT50" i="34" s="1"/>
  <c r="AU50" i="34" s="1"/>
  <c r="AF50" i="34"/>
  <c r="AV50" i="34"/>
  <c r="CD50" i="34" s="1"/>
  <c r="AT12" i="34"/>
  <c r="AU12" i="34" s="1"/>
  <c r="CC12" i="34" s="1"/>
  <c r="AS12" i="34"/>
  <c r="AT44" i="34"/>
  <c r="AU44" i="34" s="1"/>
  <c r="AS44" i="34"/>
  <c r="AF9" i="34"/>
  <c r="AV9" i="34"/>
  <c r="AR9" i="34"/>
  <c r="AT9" i="34" s="1"/>
  <c r="AU9" i="34" s="1"/>
  <c r="AF41" i="34"/>
  <c r="AR41" i="34"/>
  <c r="AT41" i="34" s="1"/>
  <c r="AV41" i="34"/>
  <c r="AF27" i="34"/>
  <c r="AV27" i="34"/>
  <c r="AR27" i="34"/>
  <c r="AT27" i="34" s="1"/>
  <c r="AU27" i="34" s="1"/>
  <c r="BW15" i="34"/>
  <c r="BY15" i="34" s="1"/>
  <c r="BZ15" i="34" s="1"/>
  <c r="CC15" i="34" s="1"/>
  <c r="CA15" i="34"/>
  <c r="CD15" i="34" s="1"/>
  <c r="BK15" i="34"/>
  <c r="BW10" i="34"/>
  <c r="BY10" i="34" s="1"/>
  <c r="CA10" i="34"/>
  <c r="BK10" i="34"/>
  <c r="BW37" i="34"/>
  <c r="BY37" i="34" s="1"/>
  <c r="BZ37" i="34" s="1"/>
  <c r="BK37" i="34"/>
  <c r="CA37" i="34"/>
  <c r="CD37" i="34" s="1"/>
  <c r="BK22" i="34"/>
  <c r="CA22" i="34"/>
  <c r="CD22" i="34" s="1"/>
  <c r="BW22" i="34"/>
  <c r="BK48" i="34"/>
  <c r="CA48" i="34"/>
  <c r="CD48" i="34" s="1"/>
  <c r="BW48" i="34"/>
  <c r="BZ50" i="34"/>
  <c r="AS46" i="34"/>
  <c r="AT46" i="34"/>
  <c r="AU46" i="34" s="1"/>
  <c r="BK43" i="34"/>
  <c r="CA43" i="34"/>
  <c r="BW43" i="34"/>
  <c r="BY43" i="34" s="1"/>
  <c r="BZ43" i="34" s="1"/>
  <c r="CC43" i="34" s="1"/>
  <c r="AR26" i="34"/>
  <c r="AT26" i="34" s="1"/>
  <c r="AF26" i="34"/>
  <c r="AV26" i="34"/>
  <c r="BK51" i="34"/>
  <c r="BW51" i="34"/>
  <c r="BY51" i="34" s="1"/>
  <c r="BZ51" i="34" s="1"/>
  <c r="CC51" i="34" s="1"/>
  <c r="CA51" i="34"/>
  <c r="BW24" i="34"/>
  <c r="BY24" i="34" s="1"/>
  <c r="BZ24" i="34" s="1"/>
  <c r="CC24" i="34" s="1"/>
  <c r="CA24" i="34"/>
  <c r="CD24" i="34" s="1"/>
  <c r="BK24" i="34"/>
  <c r="BI19" i="34"/>
  <c r="CB19" i="34"/>
  <c r="BV19" i="34"/>
  <c r="BX19" i="34" s="1"/>
  <c r="AT39" i="34"/>
  <c r="AT20" i="34"/>
  <c r="AT52" i="34"/>
  <c r="AU52" i="34" s="1"/>
  <c r="AS52" i="34"/>
  <c r="AF17" i="34"/>
  <c r="AV17" i="34"/>
  <c r="AR17" i="34"/>
  <c r="AT17" i="34" s="1"/>
  <c r="AF35" i="34"/>
  <c r="AR35" i="34"/>
  <c r="AT35" i="34" s="1"/>
  <c r="AU35" i="34" s="1"/>
  <c r="AV35" i="34"/>
  <c r="BW18" i="34"/>
  <c r="BY18" i="34" s="1"/>
  <c r="BZ18" i="34" s="1"/>
  <c r="BK18" i="34"/>
  <c r="CA18" i="34"/>
  <c r="BW13" i="34"/>
  <c r="BY13" i="34" s="1"/>
  <c r="BZ13" i="34" s="1"/>
  <c r="CC13" i="34" s="1"/>
  <c r="BK13" i="34"/>
  <c r="CA13" i="34"/>
  <c r="CD13" i="34" s="1"/>
  <c r="BW45" i="34"/>
  <c r="BY45" i="34" s="1"/>
  <c r="BK45" i="34"/>
  <c r="CA45" i="34"/>
  <c r="BI34" i="34"/>
  <c r="BQ34" i="34" s="1"/>
  <c r="BV34" i="34"/>
  <c r="BX34" i="34" s="1"/>
  <c r="BZ34" i="34" s="1"/>
  <c r="CB34" i="34"/>
  <c r="CC52" i="34"/>
  <c r="BK32" i="34"/>
  <c r="CA32" i="34"/>
  <c r="BW32" i="34"/>
  <c r="BY32" i="34" s="1"/>
  <c r="BZ32" i="34" s="1"/>
  <c r="AS35" i="30"/>
  <c r="AT35" i="30"/>
  <c r="AU35" i="30" s="1"/>
  <c r="BW41" i="30"/>
  <c r="BK41" i="30"/>
  <c r="CA41" i="30"/>
  <c r="EH33" i="30"/>
  <c r="EI33" i="30"/>
  <c r="AT54" i="30"/>
  <c r="AU54" i="30" s="1"/>
  <c r="AS54" i="30"/>
  <c r="BJ50" i="30"/>
  <c r="BH50" i="30"/>
  <c r="BQ50" i="30" s="1"/>
  <c r="CP41" i="30"/>
  <c r="DB41" i="30"/>
  <c r="DF41" i="30"/>
  <c r="CP36" i="30"/>
  <c r="DF36" i="30"/>
  <c r="DB36" i="30"/>
  <c r="DF38" i="30"/>
  <c r="DB38" i="30"/>
  <c r="CP38" i="30"/>
  <c r="EI56" i="30"/>
  <c r="EK37" i="30"/>
  <c r="DU37" i="30"/>
  <c r="EG37" i="30"/>
  <c r="EI37" i="30" s="1"/>
  <c r="EJ37" i="30" s="1"/>
  <c r="EF55" i="30"/>
  <c r="DS55" i="30"/>
  <c r="EA55" i="30" s="1"/>
  <c r="EL55" i="30"/>
  <c r="AT59" i="30"/>
  <c r="AU59" i="30" s="1"/>
  <c r="AS59" i="30"/>
  <c r="AR40" i="30"/>
  <c r="AT40" i="30" s="1"/>
  <c r="AU40" i="30" s="1"/>
  <c r="AF40" i="30"/>
  <c r="AV40" i="30"/>
  <c r="BJ58" i="30"/>
  <c r="BH58" i="30"/>
  <c r="BQ58" i="30" s="1"/>
  <c r="BK21" i="30"/>
  <c r="CA21" i="30"/>
  <c r="BW21" i="30"/>
  <c r="BY21" i="30" s="1"/>
  <c r="BY46" i="30"/>
  <c r="BZ46" i="30" s="1"/>
  <c r="BX46" i="30"/>
  <c r="BY38" i="30"/>
  <c r="CW41" i="30"/>
  <c r="CX41" i="30" s="1"/>
  <c r="CY41" i="30" s="1"/>
  <c r="CZ41" i="30" s="1"/>
  <c r="CQ41" i="30"/>
  <c r="BY14" i="30"/>
  <c r="BZ14" i="30" s="1"/>
  <c r="BX14" i="30"/>
  <c r="BH51" i="30"/>
  <c r="BQ51" i="30" s="1"/>
  <c r="BJ51" i="30"/>
  <c r="BK40" i="30"/>
  <c r="BW40" i="30"/>
  <c r="BY40" i="30" s="1"/>
  <c r="BZ40" i="30" s="1"/>
  <c r="CA40" i="30"/>
  <c r="BK17" i="30"/>
  <c r="BW17" i="30"/>
  <c r="CA17" i="30"/>
  <c r="BK49" i="30"/>
  <c r="BW49" i="30"/>
  <c r="CA49" i="30"/>
  <c r="CP50" i="30"/>
  <c r="DF50" i="30"/>
  <c r="DB50" i="30"/>
  <c r="DD50" i="30" s="1"/>
  <c r="DE50" i="30" s="1"/>
  <c r="CP37" i="30"/>
  <c r="DF37" i="30"/>
  <c r="DB37" i="30"/>
  <c r="DD37" i="30" s="1"/>
  <c r="DE37" i="30" s="1"/>
  <c r="CW44" i="30"/>
  <c r="CX44" i="30" s="1"/>
  <c r="CY44" i="30" s="1"/>
  <c r="CZ44" i="30" s="1"/>
  <c r="CQ44" i="30"/>
  <c r="DB14" i="30"/>
  <c r="DD14" i="30" s="1"/>
  <c r="DE14" i="30" s="1"/>
  <c r="DF14" i="30"/>
  <c r="CP14" i="30"/>
  <c r="DA16" i="30"/>
  <c r="DC16" i="30" s="1"/>
  <c r="CN16" i="30"/>
  <c r="DG16" i="30"/>
  <c r="CN57" i="30"/>
  <c r="DA57" i="30"/>
  <c r="DG57" i="30"/>
  <c r="DS40" i="30"/>
  <c r="EF40" i="30"/>
  <c r="EH40" i="30" s="1"/>
  <c r="EL40" i="30"/>
  <c r="DU19" i="30"/>
  <c r="EG19" i="30"/>
  <c r="EI19" i="30" s="1"/>
  <c r="EJ19" i="30" s="1"/>
  <c r="EK19" i="30"/>
  <c r="DU51" i="30"/>
  <c r="EG51" i="30"/>
  <c r="EI51" i="30" s="1"/>
  <c r="EJ51" i="30" s="1"/>
  <c r="EK51" i="30"/>
  <c r="EG59" i="30"/>
  <c r="EI59" i="30" s="1"/>
  <c r="EJ59" i="30" s="1"/>
  <c r="DU59" i="30"/>
  <c r="EK59" i="30"/>
  <c r="DV20" i="30"/>
  <c r="EB20" i="30"/>
  <c r="EC20" i="30" s="1"/>
  <c r="ED20" i="30" s="1"/>
  <c r="EE20" i="30" s="1"/>
  <c r="DV52" i="30"/>
  <c r="EB52" i="30"/>
  <c r="EC52" i="30" s="1"/>
  <c r="ED52" i="30" s="1"/>
  <c r="EE52" i="30" s="1"/>
  <c r="EH14" i="30"/>
  <c r="EI14" i="30"/>
  <c r="EJ14" i="30" s="1"/>
  <c r="CN33" i="30"/>
  <c r="CV33" i="30" s="1"/>
  <c r="DA33" i="30"/>
  <c r="DG33" i="30"/>
  <c r="EK53" i="30"/>
  <c r="DU53" i="30"/>
  <c r="EG53" i="30"/>
  <c r="EI53" i="30" s="1"/>
  <c r="EJ53" i="30" s="1"/>
  <c r="DU46" i="30"/>
  <c r="EK46" i="30"/>
  <c r="EG46" i="30"/>
  <c r="DU54" i="30"/>
  <c r="EG54" i="30"/>
  <c r="EI54" i="30" s="1"/>
  <c r="EJ54" i="30" s="1"/>
  <c r="EK54" i="30"/>
  <c r="BY22" i="30"/>
  <c r="BZ22" i="30" s="1"/>
  <c r="BX22" i="30"/>
  <c r="AR49" i="30"/>
  <c r="AT49" i="30" s="1"/>
  <c r="AU49" i="30" s="1"/>
  <c r="AF49" i="30"/>
  <c r="AV49" i="30"/>
  <c r="BK28" i="30"/>
  <c r="BW28" i="30"/>
  <c r="BY28" i="30" s="1"/>
  <c r="CA28" i="30"/>
  <c r="CP54" i="30"/>
  <c r="DB54" i="30"/>
  <c r="DF54" i="30"/>
  <c r="DT58" i="30"/>
  <c r="DR58" i="30"/>
  <c r="EA58" i="30" s="1"/>
  <c r="DT44" i="30"/>
  <c r="DR44" i="30"/>
  <c r="EA44" i="30" s="1"/>
  <c r="BZ54" i="30"/>
  <c r="AR25" i="30"/>
  <c r="AT25" i="30" s="1"/>
  <c r="AU25" i="30" s="1"/>
  <c r="AF25" i="30"/>
  <c r="AV25" i="30"/>
  <c r="AR57" i="30"/>
  <c r="AT57" i="30" s="1"/>
  <c r="AU57" i="30" s="1"/>
  <c r="AF57" i="30"/>
  <c r="AV57" i="30"/>
  <c r="AT30" i="30"/>
  <c r="AU30" i="30" s="1"/>
  <c r="AS30" i="30"/>
  <c r="CQ49" i="30"/>
  <c r="CW49" i="30"/>
  <c r="CX49" i="30" s="1"/>
  <c r="CY49" i="30" s="1"/>
  <c r="CZ49" i="30" s="1"/>
  <c r="BH19" i="30"/>
  <c r="BQ19" i="30" s="1"/>
  <c r="BJ19" i="30"/>
  <c r="BL51" i="30"/>
  <c r="BR51" i="30"/>
  <c r="BS51" i="30" s="1"/>
  <c r="BT51" i="30" s="1"/>
  <c r="BU51" i="30" s="1"/>
  <c r="DD54" i="30"/>
  <c r="DE54" i="30" s="1"/>
  <c r="CO44" i="30"/>
  <c r="CM44" i="30"/>
  <c r="CV44" i="30" s="1"/>
  <c r="DB24" i="30"/>
  <c r="DD24" i="30" s="1"/>
  <c r="CP24" i="30"/>
  <c r="DF24" i="30"/>
  <c r="CP47" i="30"/>
  <c r="DF47" i="30"/>
  <c r="DB47" i="30"/>
  <c r="DD47" i="30" s="1"/>
  <c r="CN58" i="30"/>
  <c r="DA58" i="30"/>
  <c r="DC58" i="30" s="1"/>
  <c r="DG58" i="30"/>
  <c r="DT20" i="30"/>
  <c r="DR20" i="30"/>
  <c r="EA20" i="30" s="1"/>
  <c r="DR52" i="30"/>
  <c r="DT52" i="30"/>
  <c r="EE58" i="30"/>
  <c r="AS27" i="30"/>
  <c r="AT27" i="30"/>
  <c r="AU27" i="30" s="1"/>
  <c r="CQ17" i="30"/>
  <c r="CW17" i="30"/>
  <c r="CX17" i="30" s="1"/>
  <c r="CY17" i="30" s="1"/>
  <c r="CZ17" i="30" s="1"/>
  <c r="CP28" i="30"/>
  <c r="DF28" i="30"/>
  <c r="DB28" i="30"/>
  <c r="DD28" i="30" s="1"/>
  <c r="DD34" i="30"/>
  <c r="DE34" i="30" s="1"/>
  <c r="AR48" i="30"/>
  <c r="AT48" i="30" s="1"/>
  <c r="AF48" i="30"/>
  <c r="AV48" i="30"/>
  <c r="BY41" i="30"/>
  <c r="BY49" i="30"/>
  <c r="BZ49" i="30" s="1"/>
  <c r="BH59" i="30"/>
  <c r="BQ59" i="30" s="1"/>
  <c r="BJ59" i="30"/>
  <c r="BY17" i="30"/>
  <c r="BW16" i="30"/>
  <c r="BK16" i="30"/>
  <c r="CA16" i="30"/>
  <c r="BW48" i="30"/>
  <c r="BY48" i="30" s="1"/>
  <c r="BK48" i="30"/>
  <c r="CA48" i="30"/>
  <c r="BW25" i="30"/>
  <c r="BY25" i="30" s="1"/>
  <c r="BZ25" i="30" s="1"/>
  <c r="BK25" i="30"/>
  <c r="CA25" i="30"/>
  <c r="DD58" i="30"/>
  <c r="DE58" i="30" s="1"/>
  <c r="CW52" i="30"/>
  <c r="CX52" i="30" s="1"/>
  <c r="CY52" i="30" s="1"/>
  <c r="CZ52" i="30" s="1"/>
  <c r="CQ52" i="30"/>
  <c r="CP56" i="30"/>
  <c r="DB56" i="30"/>
  <c r="DD56" i="30" s="1"/>
  <c r="DF56" i="30"/>
  <c r="CP30" i="30"/>
  <c r="DB30" i="30"/>
  <c r="DD30" i="30" s="1"/>
  <c r="DE30" i="30" s="1"/>
  <c r="DF30" i="30"/>
  <c r="DT18" i="30"/>
  <c r="DR18" i="30"/>
  <c r="EA18" i="30" s="1"/>
  <c r="DS56" i="30"/>
  <c r="EA56" i="30" s="1"/>
  <c r="EL56" i="30"/>
  <c r="EF56" i="30"/>
  <c r="EH56" i="30" s="1"/>
  <c r="DD23" i="30"/>
  <c r="DE23" i="30" s="1"/>
  <c r="DU27" i="30"/>
  <c r="EG27" i="30"/>
  <c r="EI27" i="30" s="1"/>
  <c r="EJ27" i="30" s="1"/>
  <c r="EK27" i="30"/>
  <c r="EK13" i="30"/>
  <c r="EG13" i="30"/>
  <c r="EI13" i="30" s="1"/>
  <c r="DU13" i="30"/>
  <c r="CP15" i="30"/>
  <c r="DB15" i="30"/>
  <c r="DD15" i="30" s="1"/>
  <c r="DF15" i="30"/>
  <c r="DV28" i="30"/>
  <c r="EB28" i="30"/>
  <c r="EC28" i="30" s="1"/>
  <c r="ED28" i="30" s="1"/>
  <c r="EE28" i="30" s="1"/>
  <c r="CN34" i="30"/>
  <c r="DA34" i="30"/>
  <c r="DC34" i="30" s="1"/>
  <c r="DG34" i="30"/>
  <c r="EK15" i="30"/>
  <c r="DU15" i="30"/>
  <c r="EG15" i="30"/>
  <c r="EI15" i="30" s="1"/>
  <c r="AR41" i="30"/>
  <c r="AT41" i="30" s="1"/>
  <c r="AF41" i="30"/>
  <c r="AV41" i="30"/>
  <c r="BJ34" i="30"/>
  <c r="BH34" i="30"/>
  <c r="BQ34" i="30" s="1"/>
  <c r="BH35" i="30"/>
  <c r="BQ35" i="30" s="1"/>
  <c r="BJ35" i="30"/>
  <c r="DR42" i="30"/>
  <c r="EA42" i="30" s="1"/>
  <c r="DT42" i="30"/>
  <c r="AT51" i="30"/>
  <c r="AU51" i="30" s="1"/>
  <c r="AS51" i="30"/>
  <c r="AR17" i="30"/>
  <c r="AF17" i="30"/>
  <c r="AV17" i="30"/>
  <c r="CQ33" i="30"/>
  <c r="CW33" i="30"/>
  <c r="CX33" i="30" s="1"/>
  <c r="CY33" i="30" s="1"/>
  <c r="CZ33" i="30" s="1"/>
  <c r="BW57" i="30"/>
  <c r="BY57" i="30" s="1"/>
  <c r="BZ57" i="30" s="1"/>
  <c r="BK57" i="30"/>
  <c r="CA57" i="30"/>
  <c r="AR16" i="30"/>
  <c r="AT16" i="30" s="1"/>
  <c r="AU16" i="30" s="1"/>
  <c r="AF16" i="30"/>
  <c r="AV16" i="30"/>
  <c r="AS46" i="30"/>
  <c r="AT46" i="30"/>
  <c r="BK23" i="30"/>
  <c r="CA23" i="30"/>
  <c r="BW23" i="30"/>
  <c r="BY23" i="30" s="1"/>
  <c r="BZ23" i="30" s="1"/>
  <c r="BK37" i="30"/>
  <c r="CA37" i="30"/>
  <c r="BW37" i="30"/>
  <c r="BY37" i="30" s="1"/>
  <c r="BZ37" i="30" s="1"/>
  <c r="CW57" i="30"/>
  <c r="CX57" i="30" s="1"/>
  <c r="CY57" i="30" s="1"/>
  <c r="CZ57" i="30" s="1"/>
  <c r="CQ57" i="30"/>
  <c r="BL19" i="30"/>
  <c r="BR19" i="30"/>
  <c r="BS19" i="30" s="1"/>
  <c r="BT19" i="30" s="1"/>
  <c r="BU19" i="30" s="1"/>
  <c r="CP26" i="30"/>
  <c r="DB26" i="30"/>
  <c r="DD26" i="30" s="1"/>
  <c r="DE26" i="30" s="1"/>
  <c r="DF26" i="30"/>
  <c r="AS19" i="30"/>
  <c r="AT19" i="30"/>
  <c r="AU19" i="30" s="1"/>
  <c r="AR33" i="30"/>
  <c r="AT33" i="30" s="1"/>
  <c r="AF33" i="30"/>
  <c r="AV33" i="30"/>
  <c r="BJ18" i="30"/>
  <c r="BH18" i="30"/>
  <c r="BQ18" i="30" s="1"/>
  <c r="BH43" i="30"/>
  <c r="BJ43" i="30"/>
  <c r="BH27" i="30"/>
  <c r="BQ27" i="30" s="1"/>
  <c r="BJ27" i="30"/>
  <c r="BL59" i="30"/>
  <c r="BR59" i="30"/>
  <c r="BS59" i="30" s="1"/>
  <c r="BT59" i="30" s="1"/>
  <c r="BU59" i="30" s="1"/>
  <c r="BY16" i="30"/>
  <c r="BZ16" i="30" s="1"/>
  <c r="BU58" i="30"/>
  <c r="CN53" i="30"/>
  <c r="DG53" i="30"/>
  <c r="DA53" i="30"/>
  <c r="DC53" i="30" s="1"/>
  <c r="DA25" i="30"/>
  <c r="CN25" i="30"/>
  <c r="DG25" i="30"/>
  <c r="CP20" i="30"/>
  <c r="DB20" i="30"/>
  <c r="DD20" i="30" s="1"/>
  <c r="DE20" i="30" s="1"/>
  <c r="DF20" i="30"/>
  <c r="CO52" i="30"/>
  <c r="CM52" i="30"/>
  <c r="DB40" i="30"/>
  <c r="DD40" i="30" s="1"/>
  <c r="DE40" i="30" s="1"/>
  <c r="CP40" i="30"/>
  <c r="DF40" i="30"/>
  <c r="DR26" i="30"/>
  <c r="EA26" i="30" s="1"/>
  <c r="DT26" i="30"/>
  <c r="EH55" i="30"/>
  <c r="EI55" i="30"/>
  <c r="CN48" i="30"/>
  <c r="CV48" i="30" s="1"/>
  <c r="DA48" i="30"/>
  <c r="DC48" i="30" s="1"/>
  <c r="DG48" i="30"/>
  <c r="DR28" i="30"/>
  <c r="DT28" i="30"/>
  <c r="EG48" i="30"/>
  <c r="EI48" i="30" s="1"/>
  <c r="DU48" i="30"/>
  <c r="EK48" i="30"/>
  <c r="EH23" i="30"/>
  <c r="EI23" i="30"/>
  <c r="EJ23" i="30" s="1"/>
  <c r="EI30" i="30"/>
  <c r="EJ30" i="30" s="1"/>
  <c r="EH30" i="30"/>
  <c r="EI46" i="30"/>
  <c r="AR24" i="30"/>
  <c r="AT24" i="30" s="1"/>
  <c r="AF24" i="30"/>
  <c r="AV24" i="30"/>
  <c r="AR56" i="30"/>
  <c r="AT56" i="30" s="1"/>
  <c r="AF56" i="30"/>
  <c r="AV56" i="30"/>
  <c r="BJ26" i="30"/>
  <c r="BH26" i="30"/>
  <c r="BQ26" i="30" s="1"/>
  <c r="BK30" i="30"/>
  <c r="BW30" i="30"/>
  <c r="BY30" i="30" s="1"/>
  <c r="BZ30" i="30" s="1"/>
  <c r="CA30" i="30"/>
  <c r="BK39" i="30"/>
  <c r="CA39" i="30"/>
  <c r="BW39" i="30"/>
  <c r="BY39" i="30" s="1"/>
  <c r="BZ39" i="30" s="1"/>
  <c r="BK53" i="30"/>
  <c r="CA53" i="30"/>
  <c r="BW53" i="30"/>
  <c r="BY53" i="30" s="1"/>
  <c r="BZ53" i="30" s="1"/>
  <c r="BZ47" i="30"/>
  <c r="BL27" i="30"/>
  <c r="BR27" i="30"/>
  <c r="BS27" i="30" s="1"/>
  <c r="BT27" i="30" s="1"/>
  <c r="BU27" i="30" s="1"/>
  <c r="DB49" i="30"/>
  <c r="CP49" i="30"/>
  <c r="DF49" i="30"/>
  <c r="BK24" i="30"/>
  <c r="BW24" i="30"/>
  <c r="BY24" i="30" s="1"/>
  <c r="CA24" i="30"/>
  <c r="BK56" i="30"/>
  <c r="BW56" i="30"/>
  <c r="CA56" i="30"/>
  <c r="BW33" i="30"/>
  <c r="BY33" i="30" s="1"/>
  <c r="BK33" i="30"/>
  <c r="CA33" i="30"/>
  <c r="CP13" i="30"/>
  <c r="DF13" i="30"/>
  <c r="DB13" i="30"/>
  <c r="DD13" i="30" s="1"/>
  <c r="CP46" i="30"/>
  <c r="DF46" i="30"/>
  <c r="DB46" i="30"/>
  <c r="DD46" i="30" s="1"/>
  <c r="DT34" i="30"/>
  <c r="DR34" i="30"/>
  <c r="EA34" i="30" s="1"/>
  <c r="EI32" i="30"/>
  <c r="EJ32" i="30" s="1"/>
  <c r="DD42" i="30"/>
  <c r="DE42" i="30" s="1"/>
  <c r="DU35" i="30"/>
  <c r="EG35" i="30"/>
  <c r="EI35" i="30" s="1"/>
  <c r="EJ35" i="30" s="1"/>
  <c r="EK35" i="30"/>
  <c r="EK29" i="30"/>
  <c r="DU29" i="30"/>
  <c r="EG29" i="30"/>
  <c r="EI29" i="30" s="1"/>
  <c r="EJ29" i="30" s="1"/>
  <c r="EB36" i="30"/>
  <c r="EC36" i="30" s="1"/>
  <c r="ED36" i="30" s="1"/>
  <c r="EE36" i="30" s="1"/>
  <c r="DV36" i="30"/>
  <c r="EI40" i="30"/>
  <c r="EJ40" i="30" s="1"/>
  <c r="EG31" i="30"/>
  <c r="EI31" i="30" s="1"/>
  <c r="EJ31" i="30" s="1"/>
  <c r="EK31" i="30"/>
  <c r="DU31" i="30"/>
  <c r="DU22" i="30"/>
  <c r="EG22" i="30"/>
  <c r="EI22" i="30" s="1"/>
  <c r="EJ22" i="30" s="1"/>
  <c r="EK22" i="30"/>
  <c r="BW44" i="30"/>
  <c r="BY44" i="30" s="1"/>
  <c r="BZ44" i="30" s="1"/>
  <c r="BK44" i="30"/>
  <c r="CA44" i="30"/>
  <c r="CN45" i="30"/>
  <c r="DA45" i="30"/>
  <c r="DG45" i="30"/>
  <c r="CP22" i="30"/>
  <c r="DB22" i="30"/>
  <c r="DD22" i="30" s="1"/>
  <c r="DE22" i="30" s="1"/>
  <c r="DF22" i="30"/>
  <c r="CP55" i="30"/>
  <c r="DF55" i="30"/>
  <c r="DB55" i="30"/>
  <c r="DD55" i="30" s="1"/>
  <c r="DA23" i="30"/>
  <c r="DC23" i="30" s="1"/>
  <c r="CN23" i="30"/>
  <c r="DG23" i="30"/>
  <c r="DR36" i="30"/>
  <c r="EA36" i="30" s="1"/>
  <c r="DT36" i="30"/>
  <c r="EI39" i="30"/>
  <c r="EJ39" i="30" s="1"/>
  <c r="EH39" i="30"/>
  <c r="EG24" i="30"/>
  <c r="EI24" i="30" s="1"/>
  <c r="DU24" i="30"/>
  <c r="EK24" i="30"/>
  <c r="EK21" i="30"/>
  <c r="EG21" i="30"/>
  <c r="EI21" i="30" s="1"/>
  <c r="DU21" i="30"/>
  <c r="EG16" i="30"/>
  <c r="EI16" i="30" s="1"/>
  <c r="EJ16" i="30" s="1"/>
  <c r="DU16" i="30"/>
  <c r="EK16" i="30"/>
  <c r="BY56" i="30"/>
  <c r="AT43" i="30"/>
  <c r="AU43" i="30" s="1"/>
  <c r="AS43" i="30"/>
  <c r="AR32" i="30"/>
  <c r="AT32" i="30" s="1"/>
  <c r="AU32" i="30" s="1"/>
  <c r="AF32" i="30"/>
  <c r="AV32" i="30"/>
  <c r="AS38" i="30"/>
  <c r="AT38" i="30"/>
  <c r="BJ42" i="30"/>
  <c r="BH42" i="30"/>
  <c r="BQ42" i="30" s="1"/>
  <c r="BK55" i="30"/>
  <c r="CA55" i="30"/>
  <c r="BW55" i="30"/>
  <c r="BY55" i="30" s="1"/>
  <c r="CQ25" i="30"/>
  <c r="CW25" i="30"/>
  <c r="CX25" i="30" s="1"/>
  <c r="CY25" i="30" s="1"/>
  <c r="CZ25" i="30" s="1"/>
  <c r="BX31" i="30"/>
  <c r="BY31" i="30"/>
  <c r="BZ31" i="30" s="1"/>
  <c r="BL35" i="30"/>
  <c r="BR35" i="30"/>
  <c r="BS35" i="30" s="1"/>
  <c r="BT35" i="30" s="1"/>
  <c r="BU35" i="30" s="1"/>
  <c r="BU26" i="30"/>
  <c r="BW32" i="30"/>
  <c r="BY32" i="30" s="1"/>
  <c r="BZ32" i="30" s="1"/>
  <c r="BK32" i="30"/>
  <c r="CA32" i="30"/>
  <c r="BU34" i="30"/>
  <c r="DD45" i="30"/>
  <c r="DE45" i="30" s="1"/>
  <c r="DC45" i="30"/>
  <c r="CP29" i="30"/>
  <c r="DF29" i="30"/>
  <c r="DB29" i="30"/>
  <c r="DD29" i="30" s="1"/>
  <c r="DE29" i="30" s="1"/>
  <c r="DD36" i="30"/>
  <c r="DE36" i="30" s="1"/>
  <c r="DD38" i="30"/>
  <c r="BU50" i="30"/>
  <c r="CN32" i="30"/>
  <c r="DA32" i="30"/>
  <c r="DC32" i="30" s="1"/>
  <c r="DG32" i="30"/>
  <c r="DR50" i="30"/>
  <c r="EA50" i="30" s="1"/>
  <c r="DT50" i="30"/>
  <c r="EG43" i="30"/>
  <c r="EI43" i="30" s="1"/>
  <c r="DU43" i="30"/>
  <c r="EK43" i="30"/>
  <c r="EK45" i="30"/>
  <c r="EG45" i="30"/>
  <c r="EI45" i="30" s="1"/>
  <c r="EJ45" i="30" s="1"/>
  <c r="DU45" i="30"/>
  <c r="CP31" i="30"/>
  <c r="DB31" i="30"/>
  <c r="DD31" i="30" s="1"/>
  <c r="DE31" i="30" s="1"/>
  <c r="DF31" i="30"/>
  <c r="DG17" i="30"/>
  <c r="DA17" i="30"/>
  <c r="CN17" i="30"/>
  <c r="CV17" i="30" s="1"/>
  <c r="EB44" i="30"/>
  <c r="EC44" i="30" s="1"/>
  <c r="ED44" i="30" s="1"/>
  <c r="EE44" i="30" s="1"/>
  <c r="DV44" i="30"/>
  <c r="DU49" i="30"/>
  <c r="EG49" i="30"/>
  <c r="EI49" i="30" s="1"/>
  <c r="EJ49" i="30" s="1"/>
  <c r="EK49" i="30"/>
  <c r="EH17" i="30"/>
  <c r="EI17" i="30"/>
  <c r="DE59" i="30"/>
  <c r="DU41" i="30"/>
  <c r="EK41" i="30"/>
  <c r="EG41" i="30"/>
  <c r="EI41" i="30" s="1"/>
  <c r="EK47" i="30"/>
  <c r="EG47" i="30"/>
  <c r="EI47" i="30" s="1"/>
  <c r="DU47" i="30"/>
  <c r="DU38" i="30"/>
  <c r="EK38" i="30"/>
  <c r="EG38" i="30"/>
  <c r="EI38" i="30" s="1"/>
  <c r="EL32" i="30"/>
  <c r="DS32" i="30"/>
  <c r="EF32" i="30"/>
  <c r="EH32" i="30" s="1"/>
  <c r="AF47" i="29"/>
  <c r="AR47" i="29"/>
  <c r="AT47" i="29" s="1"/>
  <c r="AU47" i="29" s="1"/>
  <c r="AV47" i="29"/>
  <c r="AT20" i="29"/>
  <c r="AU20" i="29" s="1"/>
  <c r="AM25" i="29"/>
  <c r="AN25" i="29" s="1"/>
  <c r="AO25" i="29" s="1"/>
  <c r="AP25" i="29" s="1"/>
  <c r="AG25" i="29"/>
  <c r="AF50" i="29"/>
  <c r="AV50" i="29"/>
  <c r="AR50" i="29"/>
  <c r="AT50" i="29" s="1"/>
  <c r="AU50" i="29" s="1"/>
  <c r="AG33" i="29"/>
  <c r="AM33" i="29"/>
  <c r="AN33" i="29" s="1"/>
  <c r="AO33" i="29" s="1"/>
  <c r="AP33" i="29" s="1"/>
  <c r="AF23" i="29"/>
  <c r="AR23" i="29"/>
  <c r="AT23" i="29" s="1"/>
  <c r="AU23" i="29" s="1"/>
  <c r="AV23" i="29"/>
  <c r="AF9" i="29"/>
  <c r="AV9" i="29"/>
  <c r="AR9" i="29"/>
  <c r="AF41" i="29"/>
  <c r="AV41" i="29"/>
  <c r="AR41" i="29"/>
  <c r="AR24" i="29"/>
  <c r="AT24" i="29" s="1"/>
  <c r="AU24" i="29" s="1"/>
  <c r="AF24" i="29"/>
  <c r="AV24" i="29"/>
  <c r="AT12" i="29"/>
  <c r="AS12" i="29"/>
  <c r="AU14" i="29"/>
  <c r="AG17" i="29"/>
  <c r="AM17" i="29"/>
  <c r="AN17" i="29" s="1"/>
  <c r="AO17" i="29" s="1"/>
  <c r="AP17" i="29" s="1"/>
  <c r="AF44" i="29"/>
  <c r="AV44" i="29"/>
  <c r="AR44" i="29"/>
  <c r="AT44" i="29" s="1"/>
  <c r="AU44" i="29" s="1"/>
  <c r="AG41" i="29"/>
  <c r="AM41" i="29"/>
  <c r="AN41" i="29" s="1"/>
  <c r="AO41" i="29" s="1"/>
  <c r="AP41" i="29" s="1"/>
  <c r="AF52" i="29"/>
  <c r="AV52" i="29"/>
  <c r="AR52" i="29"/>
  <c r="AT52" i="29" s="1"/>
  <c r="AU52" i="29" s="1"/>
  <c r="AM9" i="29"/>
  <c r="AN9" i="29" s="1"/>
  <c r="AO9" i="29" s="1"/>
  <c r="AP9" i="29" s="1"/>
  <c r="AG9" i="29"/>
  <c r="AF33" i="29"/>
  <c r="AV33" i="29"/>
  <c r="AR33" i="29"/>
  <c r="AR48" i="29"/>
  <c r="AT48" i="29" s="1"/>
  <c r="AF48" i="29"/>
  <c r="AV48" i="29"/>
  <c r="AF18" i="29"/>
  <c r="AV18" i="29"/>
  <c r="AR18" i="29"/>
  <c r="AT18" i="29" s="1"/>
  <c r="AU18" i="29" s="1"/>
  <c r="AG49" i="29"/>
  <c r="AM49" i="29"/>
  <c r="AN49" i="29" s="1"/>
  <c r="AO49" i="29" s="1"/>
  <c r="AP49" i="29" s="1"/>
  <c r="AF17" i="29"/>
  <c r="AV17" i="29"/>
  <c r="AR17" i="29"/>
  <c r="AF49" i="29"/>
  <c r="AV49" i="29"/>
  <c r="AR49" i="29"/>
  <c r="AF32" i="29"/>
  <c r="AR32" i="29"/>
  <c r="AT32" i="29" s="1"/>
  <c r="AU32" i="29" s="1"/>
  <c r="AV32" i="29"/>
  <c r="AF26" i="29"/>
  <c r="AV26" i="29"/>
  <c r="AR26" i="29"/>
  <c r="AT26" i="29" s="1"/>
  <c r="AR16" i="29"/>
  <c r="AT16" i="29" s="1"/>
  <c r="AU16" i="29" s="1"/>
  <c r="AF16" i="29"/>
  <c r="AV16" i="29"/>
  <c r="AF42" i="29"/>
  <c r="AV42" i="29"/>
  <c r="AR42" i="29"/>
  <c r="AT42" i="29" s="1"/>
  <c r="AU42" i="29" s="1"/>
  <c r="AF34" i="29"/>
  <c r="AV34" i="29"/>
  <c r="AR34" i="29"/>
  <c r="AT34" i="29" s="1"/>
  <c r="AF10" i="29"/>
  <c r="AV10" i="29"/>
  <c r="AR10" i="29"/>
  <c r="AT10" i="29" s="1"/>
  <c r="AS28" i="29"/>
  <c r="AT28" i="29"/>
  <c r="AU28" i="29" s="1"/>
  <c r="AF7" i="29"/>
  <c r="AR7" i="29"/>
  <c r="AT7" i="29" s="1"/>
  <c r="AU7" i="29" s="1"/>
  <c r="AV7" i="29"/>
  <c r="AT36" i="29"/>
  <c r="AS36" i="29"/>
  <c r="AF25" i="29"/>
  <c r="AV25" i="29"/>
  <c r="AR25" i="29"/>
  <c r="AF8" i="29"/>
  <c r="AR8" i="29"/>
  <c r="AT8" i="29" s="1"/>
  <c r="AV8" i="29"/>
  <c r="AF40" i="29"/>
  <c r="AR40" i="29"/>
  <c r="AT40" i="29" s="1"/>
  <c r="AV40" i="29"/>
  <c r="AF39" i="29"/>
  <c r="AR39" i="29"/>
  <c r="AT39" i="29" s="1"/>
  <c r="AV39" i="29"/>
  <c r="AU46" i="29"/>
  <c r="BU5" i="34"/>
  <c r="BJ5" i="34"/>
  <c r="BU12" i="30"/>
  <c r="DV12" i="30"/>
  <c r="AE6" i="5"/>
  <c r="AF6" i="5" s="1"/>
  <c r="AQ6" i="5" s="1"/>
  <c r="AV5" i="29"/>
  <c r="AP5" i="29"/>
  <c r="AR5" i="29"/>
  <c r="AC5" i="29"/>
  <c r="AL5" i="29" s="1"/>
  <c r="CX12" i="30"/>
  <c r="CY12" i="30" s="1"/>
  <c r="CZ12" i="30" s="1"/>
  <c r="BJ12" i="30"/>
  <c r="BW12" i="30" s="1"/>
  <c r="BY12" i="30" s="1"/>
  <c r="BH12" i="30"/>
  <c r="BQ12" i="30" s="1"/>
  <c r="BH5" i="33"/>
  <c r="BK5" i="33"/>
  <c r="BV5" i="33" s="1"/>
  <c r="CB5" i="33"/>
  <c r="BU5" i="33"/>
  <c r="BY5" i="33" s="1"/>
  <c r="AR5" i="34"/>
  <c r="AF5" i="34"/>
  <c r="AD5" i="34" s="1"/>
  <c r="AL5" i="34" s="1"/>
  <c r="AP5" i="34"/>
  <c r="AC5" i="34"/>
  <c r="AV5" i="34"/>
  <c r="CD5" i="34" s="1"/>
  <c r="CA5" i="34"/>
  <c r="BW5" i="34"/>
  <c r="BK5" i="34"/>
  <c r="CM12" i="30"/>
  <c r="CV12" i="30" s="1"/>
  <c r="EE12" i="30"/>
  <c r="DR12" i="30"/>
  <c r="EA12" i="30" s="1"/>
  <c r="CQ12" i="30"/>
  <c r="EG12" i="30"/>
  <c r="EK12" i="30"/>
  <c r="DU12" i="30"/>
  <c r="CP12" i="30"/>
  <c r="DB12" i="30"/>
  <c r="AG12" i="30"/>
  <c r="AP12" i="30"/>
  <c r="AE12" i="30"/>
  <c r="AR12" i="30" s="1"/>
  <c r="AQ5" i="29"/>
  <c r="AW5" i="29"/>
  <c r="AD5" i="29"/>
  <c r="AC7" i="5"/>
  <c r="AC31" i="5"/>
  <c r="AC23" i="5"/>
  <c r="AC15" i="5"/>
  <c r="AC22" i="5"/>
  <c r="AC6" i="5"/>
  <c r="AC30" i="5"/>
  <c r="AC14" i="5"/>
  <c r="AC38" i="5"/>
  <c r="AC46" i="5"/>
  <c r="AC50" i="5"/>
  <c r="AC42" i="5"/>
  <c r="AC34" i="5"/>
  <c r="AC26" i="5"/>
  <c r="AC18" i="5"/>
  <c r="AC10" i="5"/>
  <c r="AC45" i="5"/>
  <c r="AC37" i="5"/>
  <c r="AC29" i="5"/>
  <c r="AC21" i="5"/>
  <c r="AC12" i="5"/>
  <c r="AC44" i="5"/>
  <c r="AC36" i="5"/>
  <c r="AC28" i="5"/>
  <c r="AC20" i="5"/>
  <c r="AL20" i="5" s="1"/>
  <c r="AC11" i="5"/>
  <c r="AC51" i="5"/>
  <c r="AC43" i="5"/>
  <c r="AC35" i="5"/>
  <c r="AC27" i="5"/>
  <c r="AC19" i="5"/>
  <c r="AC17" i="5"/>
  <c r="AC9" i="5"/>
  <c r="AC49" i="5"/>
  <c r="AC41" i="5"/>
  <c r="AC33" i="5"/>
  <c r="AC25" i="5"/>
  <c r="AC16" i="5"/>
  <c r="AC8" i="5"/>
  <c r="AC48" i="5"/>
  <c r="AC40" i="5"/>
  <c r="AC32" i="5"/>
  <c r="AC24" i="5"/>
  <c r="AC47" i="5"/>
  <c r="AC39" i="5"/>
  <c r="AC13" i="5"/>
  <c r="AC5" i="5"/>
  <c r="AL5" i="5" s="1"/>
  <c r="AK43" i="5"/>
  <c r="AK11" i="5"/>
  <c r="AK39" i="5"/>
  <c r="AK7" i="5"/>
  <c r="AK35" i="5"/>
  <c r="AK15" i="5"/>
  <c r="AM40" i="5"/>
  <c r="AK31" i="5"/>
  <c r="AK27" i="5"/>
  <c r="AK47" i="5"/>
  <c r="AK23" i="5"/>
  <c r="AK51" i="5"/>
  <c r="AK19" i="5"/>
  <c r="V48" i="5"/>
  <c r="AK42" i="5"/>
  <c r="AK18" i="5"/>
  <c r="U47" i="5"/>
  <c r="U39" i="5"/>
  <c r="U31" i="5"/>
  <c r="U23" i="5"/>
  <c r="U15" i="5"/>
  <c r="U7" i="5"/>
  <c r="U32" i="5"/>
  <c r="AK49" i="5"/>
  <c r="AK41" i="5"/>
  <c r="AK33" i="5"/>
  <c r="AK25" i="5"/>
  <c r="AK17" i="5"/>
  <c r="AK9" i="5"/>
  <c r="AK44" i="5"/>
  <c r="AK28" i="5"/>
  <c r="AK12" i="5"/>
  <c r="AK10" i="5"/>
  <c r="U30" i="5"/>
  <c r="U6" i="5"/>
  <c r="U34" i="5"/>
  <c r="AK34" i="5"/>
  <c r="U46" i="5"/>
  <c r="U22" i="5"/>
  <c r="U14" i="5"/>
  <c r="U26" i="5"/>
  <c r="V45" i="5"/>
  <c r="U37" i="5"/>
  <c r="U29" i="5"/>
  <c r="U21" i="5"/>
  <c r="U13" i="5"/>
  <c r="U5" i="5"/>
  <c r="U24" i="5"/>
  <c r="AK40" i="5"/>
  <c r="AK24" i="5"/>
  <c r="AK8" i="5"/>
  <c r="AK26" i="5"/>
  <c r="U38" i="5"/>
  <c r="U44" i="5"/>
  <c r="U36" i="5"/>
  <c r="U28" i="5"/>
  <c r="U20" i="5"/>
  <c r="U12" i="5"/>
  <c r="U50" i="5"/>
  <c r="U18" i="5"/>
  <c r="AK46" i="5"/>
  <c r="AK38" i="5"/>
  <c r="AK30" i="5"/>
  <c r="AK22" i="5"/>
  <c r="AK14" i="5"/>
  <c r="AK6" i="5"/>
  <c r="U51" i="5"/>
  <c r="U43" i="5"/>
  <c r="U35" i="5"/>
  <c r="U27" i="5"/>
  <c r="U19" i="5"/>
  <c r="U11" i="5"/>
  <c r="U16" i="5"/>
  <c r="AK45" i="5"/>
  <c r="AK37" i="5"/>
  <c r="AK29" i="5"/>
  <c r="AK21" i="5"/>
  <c r="AK13" i="5"/>
  <c r="AK5" i="5"/>
  <c r="AK36" i="5"/>
  <c r="AK20" i="5"/>
  <c r="U42" i="5"/>
  <c r="U10" i="5"/>
  <c r="AK50" i="5"/>
  <c r="U49" i="5"/>
  <c r="U41" i="5"/>
  <c r="U33" i="5"/>
  <c r="U25" i="5"/>
  <c r="U17" i="5"/>
  <c r="U9" i="5"/>
  <c r="U40" i="5"/>
  <c r="U8" i="5"/>
  <c r="AK48" i="5"/>
  <c r="AK32" i="5"/>
  <c r="AK16" i="5"/>
  <c r="AE20" i="5"/>
  <c r="AV20" i="5" s="1"/>
  <c r="AE34" i="5"/>
  <c r="AV34" i="5" s="1"/>
  <c r="AE18" i="5"/>
  <c r="AV18" i="5" s="1"/>
  <c r="AT26" i="30" l="1"/>
  <c r="AU26" i="30" s="1"/>
  <c r="AT18" i="30"/>
  <c r="AU18" i="30" s="1"/>
  <c r="AS18" i="30"/>
  <c r="AT17" i="30"/>
  <c r="DB21" i="30"/>
  <c r="DD21" i="30" s="1"/>
  <c r="CP21" i="30"/>
  <c r="DF21" i="30"/>
  <c r="AQ29" i="30"/>
  <c r="AS29" i="30" s="1"/>
  <c r="AW29" i="30"/>
  <c r="AD29" i="30"/>
  <c r="AD18" i="30"/>
  <c r="AW18" i="30"/>
  <c r="AQ18" i="30"/>
  <c r="AW26" i="30"/>
  <c r="AD26" i="30"/>
  <c r="AQ26" i="30"/>
  <c r="AS26" i="30" s="1"/>
  <c r="AU21" i="30"/>
  <c r="CA16" i="34"/>
  <c r="CD16" i="34" s="1"/>
  <c r="BY14" i="34"/>
  <c r="BZ7" i="34"/>
  <c r="CC7" i="34" s="1"/>
  <c r="CD25" i="34"/>
  <c r="AW20" i="34"/>
  <c r="CE20" i="34" s="1"/>
  <c r="CD26" i="34"/>
  <c r="BW16" i="34"/>
  <c r="BY16" i="34" s="1"/>
  <c r="BZ16" i="34" s="1"/>
  <c r="CC16" i="34" s="1"/>
  <c r="AD20" i="34"/>
  <c r="CC44" i="34"/>
  <c r="BZ23" i="34"/>
  <c r="CC23" i="34" s="1"/>
  <c r="CC32" i="34"/>
  <c r="CD32" i="34"/>
  <c r="AU20" i="34"/>
  <c r="CC20" i="34" s="1"/>
  <c r="AT18" i="34"/>
  <c r="AU18" i="34" s="1"/>
  <c r="AT28" i="34"/>
  <c r="AU28" i="34" s="1"/>
  <c r="CC28" i="34" s="1"/>
  <c r="AW39" i="34"/>
  <c r="CE39" i="34" s="1"/>
  <c r="AD39" i="34"/>
  <c r="AL39" i="34" s="1"/>
  <c r="AQ39" i="34"/>
  <c r="AS39" i="34" s="1"/>
  <c r="AU41" i="33"/>
  <c r="CA41" i="33" s="1"/>
  <c r="BY48" i="33"/>
  <c r="BZ48" i="33" s="1"/>
  <c r="BY47" i="33"/>
  <c r="BZ47" i="33" s="1"/>
  <c r="AT15" i="33"/>
  <c r="BZ32" i="33"/>
  <c r="AS7" i="33"/>
  <c r="AU7" i="33" s="1"/>
  <c r="CA26" i="33"/>
  <c r="CA9" i="33"/>
  <c r="CA49" i="33"/>
  <c r="AF21" i="34"/>
  <c r="AR21" i="34"/>
  <c r="AT21" i="34" s="1"/>
  <c r="AV21" i="34"/>
  <c r="CD21" i="34" s="1"/>
  <c r="BY48" i="34"/>
  <c r="CC37" i="34"/>
  <c r="AQ37" i="34"/>
  <c r="AS37" i="34" s="1"/>
  <c r="AD37" i="34"/>
  <c r="AW37" i="34"/>
  <c r="AF45" i="34"/>
  <c r="AV45" i="34"/>
  <c r="CD45" i="34" s="1"/>
  <c r="AR45" i="34"/>
  <c r="AT45" i="34" s="1"/>
  <c r="BX39" i="34"/>
  <c r="BY47" i="34"/>
  <c r="BZ47" i="34" s="1"/>
  <c r="CC47" i="34" s="1"/>
  <c r="AW32" i="34"/>
  <c r="AD32" i="34"/>
  <c r="AQ32" i="34"/>
  <c r="AS32" i="34" s="1"/>
  <c r="CC50" i="34"/>
  <c r="CC42" i="34"/>
  <c r="CD14" i="34"/>
  <c r="BI50" i="34"/>
  <c r="CB50" i="34"/>
  <c r="BV50" i="34"/>
  <c r="BX50" i="34" s="1"/>
  <c r="BK20" i="30"/>
  <c r="BW20" i="30"/>
  <c r="BY20" i="30" s="1"/>
  <c r="BZ20" i="30" s="1"/>
  <c r="CA20" i="30"/>
  <c r="BK36" i="30"/>
  <c r="BW36" i="30"/>
  <c r="BY36" i="30" s="1"/>
  <c r="BZ36" i="30" s="1"/>
  <c r="CA36" i="30"/>
  <c r="AD52" i="30"/>
  <c r="AL52" i="30" s="1"/>
  <c r="AQ52" i="30"/>
  <c r="AS52" i="30" s="1"/>
  <c r="AU52" i="30" s="1"/>
  <c r="AW52" i="30"/>
  <c r="DG18" i="30"/>
  <c r="CN18" i="30"/>
  <c r="DA18" i="30"/>
  <c r="DC18" i="30" s="1"/>
  <c r="EF25" i="30"/>
  <c r="EH25" i="30" s="1"/>
  <c r="EL25" i="30"/>
  <c r="DS25" i="30"/>
  <c r="BK52" i="30"/>
  <c r="CA52" i="30"/>
  <c r="BW52" i="30"/>
  <c r="BY52" i="30" s="1"/>
  <c r="BI38" i="30"/>
  <c r="BQ38" i="30" s="1"/>
  <c r="BV38" i="30"/>
  <c r="BX38" i="30" s="1"/>
  <c r="CB38" i="30"/>
  <c r="AW20" i="30"/>
  <c r="AQ20" i="30"/>
  <c r="AS20" i="30" s="1"/>
  <c r="AD20" i="30"/>
  <c r="AU12" i="29"/>
  <c r="AD13" i="29"/>
  <c r="AW13" i="29"/>
  <c r="AQ13" i="29"/>
  <c r="AS13" i="29" s="1"/>
  <c r="AD45" i="29"/>
  <c r="AL45" i="29" s="1"/>
  <c r="AW45" i="29"/>
  <c r="AQ45" i="29"/>
  <c r="AS45" i="29" s="1"/>
  <c r="AD21" i="29"/>
  <c r="AL21" i="29" s="1"/>
  <c r="AQ21" i="29"/>
  <c r="AS21" i="29" s="1"/>
  <c r="AU21" i="29" s="1"/>
  <c r="AW21" i="29"/>
  <c r="AT30" i="29"/>
  <c r="AU30" i="29" s="1"/>
  <c r="BV21" i="33"/>
  <c r="BX21" i="33" s="1"/>
  <c r="BI21" i="33"/>
  <c r="CC21" i="33"/>
  <c r="AD8" i="33"/>
  <c r="AL8" i="33" s="1"/>
  <c r="AQ8" i="33"/>
  <c r="AS8" i="33" s="1"/>
  <c r="AW8" i="33"/>
  <c r="BV47" i="33"/>
  <c r="BX47" i="33" s="1"/>
  <c r="AT47" i="33"/>
  <c r="BI33" i="33"/>
  <c r="BV33" i="33"/>
  <c r="BX33" i="33" s="1"/>
  <c r="CC33" i="33"/>
  <c r="CC47" i="33"/>
  <c r="CB23" i="33"/>
  <c r="CD23" i="33" s="1"/>
  <c r="BW23" i="33"/>
  <c r="BY23" i="33" s="1"/>
  <c r="BZ23" i="33" s="1"/>
  <c r="BK23" i="33"/>
  <c r="AD24" i="33"/>
  <c r="AL24" i="33" s="1"/>
  <c r="AQ24" i="33"/>
  <c r="AS24" i="33" s="1"/>
  <c r="AW24" i="33"/>
  <c r="AD18" i="33"/>
  <c r="AL18" i="33" s="1"/>
  <c r="AQ18" i="33"/>
  <c r="AS18" i="33" s="1"/>
  <c r="AW18" i="33"/>
  <c r="BK11" i="33"/>
  <c r="CB11" i="33"/>
  <c r="CD11" i="33" s="1"/>
  <c r="BW11" i="33"/>
  <c r="BY11" i="33" s="1"/>
  <c r="BZ11" i="33" s="1"/>
  <c r="BX39" i="33"/>
  <c r="CC43" i="33"/>
  <c r="BV43" i="33"/>
  <c r="BX43" i="33" s="1"/>
  <c r="BI43" i="33"/>
  <c r="BY51" i="33"/>
  <c r="BZ51" i="33" s="1"/>
  <c r="AU36" i="33"/>
  <c r="CA36" i="33" s="1"/>
  <c r="BK35" i="33"/>
  <c r="BW35" i="33"/>
  <c r="BY35" i="33" s="1"/>
  <c r="BZ35" i="33" s="1"/>
  <c r="CB35" i="33"/>
  <c r="CD35" i="33" s="1"/>
  <c r="CC46" i="33"/>
  <c r="BV46" i="33"/>
  <c r="BX46" i="33" s="1"/>
  <c r="BI46" i="33"/>
  <c r="AW20" i="33"/>
  <c r="AD20" i="33"/>
  <c r="AL20" i="33" s="1"/>
  <c r="AQ20" i="33"/>
  <c r="AS20" i="33" s="1"/>
  <c r="BI51" i="33"/>
  <c r="CC51" i="33"/>
  <c r="BV51" i="33"/>
  <c r="BX51" i="33" s="1"/>
  <c r="CC29" i="33"/>
  <c r="BV29" i="33"/>
  <c r="BX29" i="33" s="1"/>
  <c r="BI29" i="33"/>
  <c r="AD34" i="33"/>
  <c r="AL34" i="33" s="1"/>
  <c r="AQ34" i="33"/>
  <c r="AS34" i="33" s="1"/>
  <c r="AW34" i="33"/>
  <c r="AD48" i="33"/>
  <c r="AL48" i="33" s="1"/>
  <c r="AQ48" i="33"/>
  <c r="AS48" i="33" s="1"/>
  <c r="AW48" i="33"/>
  <c r="BK27" i="33"/>
  <c r="CB27" i="33"/>
  <c r="CD27" i="33" s="1"/>
  <c r="BW27" i="33"/>
  <c r="BY27" i="33" s="1"/>
  <c r="BZ27" i="33" s="1"/>
  <c r="AD16" i="33"/>
  <c r="AL16" i="33" s="1"/>
  <c r="AW16" i="33"/>
  <c r="AQ16" i="33"/>
  <c r="AS16" i="33" s="1"/>
  <c r="AU16" i="33" s="1"/>
  <c r="CA16" i="33" s="1"/>
  <c r="AT23" i="33"/>
  <c r="AU31" i="33"/>
  <c r="AD32" i="33"/>
  <c r="AL32" i="33" s="1"/>
  <c r="AQ32" i="33"/>
  <c r="AS32" i="33" s="1"/>
  <c r="AW32" i="33"/>
  <c r="AU33" i="33"/>
  <c r="CA33" i="33" s="1"/>
  <c r="BI19" i="33"/>
  <c r="CC19" i="33"/>
  <c r="BV19" i="33"/>
  <c r="BX19" i="33" s="1"/>
  <c r="AD50" i="33"/>
  <c r="AL50" i="33" s="1"/>
  <c r="AW50" i="33"/>
  <c r="AQ50" i="33"/>
  <c r="AS50" i="33" s="1"/>
  <c r="AD12" i="33"/>
  <c r="AL12" i="33" s="1"/>
  <c r="AQ12" i="33"/>
  <c r="AS12" i="33" s="1"/>
  <c r="AW12" i="33"/>
  <c r="AD28" i="33"/>
  <c r="AL28" i="33" s="1"/>
  <c r="AW28" i="33"/>
  <c r="AQ28" i="33"/>
  <c r="AS28" i="33" s="1"/>
  <c r="CC14" i="33"/>
  <c r="BI14" i="33"/>
  <c r="BV14" i="33"/>
  <c r="BX14" i="33" s="1"/>
  <c r="AU44" i="33"/>
  <c r="CA44" i="33" s="1"/>
  <c r="CD5" i="33"/>
  <c r="AD47" i="33"/>
  <c r="AL47" i="33" s="1"/>
  <c r="AQ47" i="33"/>
  <c r="AW47" i="33"/>
  <c r="CB7" i="33"/>
  <c r="CD7" i="33" s="1"/>
  <c r="BK7" i="33"/>
  <c r="BW7" i="33"/>
  <c r="BY7" i="33" s="1"/>
  <c r="BZ7" i="33" s="1"/>
  <c r="AA2" i="35" s="1" a="1"/>
  <c r="AA2" i="35" s="1"/>
  <c r="BY15" i="33"/>
  <c r="BZ15" i="33" s="1"/>
  <c r="BI30" i="33"/>
  <c r="BV30" i="33"/>
  <c r="BX30" i="33" s="1"/>
  <c r="CC30" i="33"/>
  <c r="AS47" i="33"/>
  <c r="CC38" i="33"/>
  <c r="BI38" i="33"/>
  <c r="BV38" i="33"/>
  <c r="BX38" i="33" s="1"/>
  <c r="AD39" i="33"/>
  <c r="AL39" i="33" s="1"/>
  <c r="AQ39" i="33"/>
  <c r="AS39" i="33" s="1"/>
  <c r="AW39" i="33"/>
  <c r="AD23" i="33"/>
  <c r="AL23" i="33" s="1"/>
  <c r="AW23" i="33"/>
  <c r="AQ23" i="33"/>
  <c r="AS23" i="33" s="1"/>
  <c r="AU23" i="33" s="1"/>
  <c r="CA23" i="33" s="1"/>
  <c r="AU10" i="33"/>
  <c r="CA10" i="33" s="1"/>
  <c r="AD15" i="33"/>
  <c r="AL15" i="33" s="1"/>
  <c r="AQ15" i="33"/>
  <c r="AS15" i="33" s="1"/>
  <c r="AW15" i="33"/>
  <c r="CB31" i="33"/>
  <c r="CD31" i="33" s="1"/>
  <c r="BK31" i="33"/>
  <c r="BW31" i="33"/>
  <c r="BY31" i="33" s="1"/>
  <c r="BZ31" i="33" s="1"/>
  <c r="AD40" i="33"/>
  <c r="AL40" i="33" s="1"/>
  <c r="AW40" i="33"/>
  <c r="AQ40" i="33"/>
  <c r="AS40" i="33" s="1"/>
  <c r="BI15" i="33"/>
  <c r="CC15" i="33"/>
  <c r="BV15" i="33"/>
  <c r="BX15" i="33" s="1"/>
  <c r="AT38" i="34"/>
  <c r="AU38" i="34" s="1"/>
  <c r="CC38" i="34" s="1"/>
  <c r="BY25" i="34"/>
  <c r="BZ25" i="34" s="1"/>
  <c r="CC25" i="34" s="1"/>
  <c r="AU39" i="34"/>
  <c r="BK41" i="34"/>
  <c r="CA41" i="34"/>
  <c r="BW41" i="34"/>
  <c r="BY41" i="34" s="1"/>
  <c r="AD14" i="34"/>
  <c r="AL14" i="34" s="1"/>
  <c r="AW14" i="34"/>
  <c r="AQ14" i="34"/>
  <c r="AS14" i="34" s="1"/>
  <c r="AU14" i="34" s="1"/>
  <c r="CB17" i="34"/>
  <c r="BI17" i="34"/>
  <c r="BQ17" i="34" s="1"/>
  <c r="BV17" i="34"/>
  <c r="BX17" i="34" s="1"/>
  <c r="BZ17" i="34" s="1"/>
  <c r="CD17" i="34"/>
  <c r="BK30" i="34"/>
  <c r="BW30" i="34"/>
  <c r="BY30" i="34" s="1"/>
  <c r="BZ30" i="34" s="1"/>
  <c r="CC30" i="34" s="1"/>
  <c r="CA30" i="34"/>
  <c r="CD30" i="34" s="1"/>
  <c r="BK33" i="34"/>
  <c r="CA33" i="34"/>
  <c r="CD33" i="34" s="1"/>
  <c r="BW33" i="34"/>
  <c r="BY33" i="34" s="1"/>
  <c r="BZ33" i="34" s="1"/>
  <c r="CC33" i="34" s="1"/>
  <c r="CB25" i="34"/>
  <c r="BI25" i="34"/>
  <c r="BV25" i="34"/>
  <c r="BX25" i="34" s="1"/>
  <c r="BK46" i="34"/>
  <c r="CA46" i="34"/>
  <c r="CD46" i="34" s="1"/>
  <c r="BW46" i="34"/>
  <c r="BY46" i="34" s="1"/>
  <c r="BZ46" i="34" s="1"/>
  <c r="CC46" i="34" s="1"/>
  <c r="BK23" i="34"/>
  <c r="CB47" i="34"/>
  <c r="CE47" i="34" s="1"/>
  <c r="CD51" i="34"/>
  <c r="BI44" i="34"/>
  <c r="CB44" i="34"/>
  <c r="CE44" i="34" s="1"/>
  <c r="BV44" i="34"/>
  <c r="BX44" i="34" s="1"/>
  <c r="CA23" i="34"/>
  <c r="CD23" i="34" s="1"/>
  <c r="BV47" i="34"/>
  <c r="BX47" i="34" s="1"/>
  <c r="CD41" i="34"/>
  <c r="BY17" i="34"/>
  <c r="BZ39" i="34"/>
  <c r="CA31" i="34"/>
  <c r="CD31" i="34" s="1"/>
  <c r="BW31" i="34"/>
  <c r="BY31" i="34" s="1"/>
  <c r="BK31" i="34"/>
  <c r="BY22" i="34"/>
  <c r="BZ22" i="34" s="1"/>
  <c r="CC22" i="34" s="1"/>
  <c r="AU36" i="34"/>
  <c r="CC36" i="34" s="1"/>
  <c r="AW6" i="34"/>
  <c r="AD6" i="34"/>
  <c r="AL6" i="34" s="1"/>
  <c r="AQ6" i="34"/>
  <c r="AS6" i="34" s="1"/>
  <c r="AU6" i="34" s="1"/>
  <c r="BK9" i="34"/>
  <c r="BW9" i="34"/>
  <c r="BY9" i="34" s="1"/>
  <c r="BZ9" i="34" s="1"/>
  <c r="CC9" i="34" s="1"/>
  <c r="CA9" i="34"/>
  <c r="CD9" i="34" s="1"/>
  <c r="BK49" i="34"/>
  <c r="CA49" i="34"/>
  <c r="CD49" i="34" s="1"/>
  <c r="BW49" i="34"/>
  <c r="BY49" i="34" s="1"/>
  <c r="AW38" i="34"/>
  <c r="AD38" i="34"/>
  <c r="AQ38" i="34"/>
  <c r="AS38" i="34" s="1"/>
  <c r="AR29" i="34"/>
  <c r="AT29" i="34" s="1"/>
  <c r="AU29" i="34" s="1"/>
  <c r="CC29" i="34" s="1"/>
  <c r="AV29" i="34"/>
  <c r="D11" i="17" s="1"/>
  <c r="AF29" i="34"/>
  <c r="AD28" i="34"/>
  <c r="AQ28" i="34"/>
  <c r="AS28" i="34" s="1"/>
  <c r="AW28" i="34"/>
  <c r="CE28" i="34" s="1"/>
  <c r="EJ55" i="30"/>
  <c r="AU46" i="30"/>
  <c r="EJ33" i="30"/>
  <c r="AQ53" i="30"/>
  <c r="AS53" i="30" s="1"/>
  <c r="AD53" i="30"/>
  <c r="AW53" i="30"/>
  <c r="EJ56" i="30"/>
  <c r="DE48" i="30"/>
  <c r="EJ17" i="30"/>
  <c r="AU38" i="30"/>
  <c r="BZ38" i="30"/>
  <c r="DG42" i="30"/>
  <c r="CN42" i="30"/>
  <c r="DA42" i="30"/>
  <c r="DC42" i="30" s="1"/>
  <c r="AS6" i="29"/>
  <c r="AU6" i="29" s="1"/>
  <c r="AT6" i="29"/>
  <c r="AU36" i="29"/>
  <c r="AD31" i="29"/>
  <c r="AL31" i="29" s="1"/>
  <c r="AW31" i="29"/>
  <c r="AQ31" i="29"/>
  <c r="AS31" i="29" s="1"/>
  <c r="AU31" i="29" s="1"/>
  <c r="AD15" i="29"/>
  <c r="AQ15" i="29"/>
  <c r="AS15" i="29" s="1"/>
  <c r="AW15" i="29"/>
  <c r="AT38" i="29"/>
  <c r="AU38" i="29" s="1"/>
  <c r="AS22" i="29"/>
  <c r="AT22" i="29"/>
  <c r="AU22" i="29" s="1"/>
  <c r="AD38" i="29"/>
  <c r="AQ38" i="29"/>
  <c r="AS38" i="29" s="1"/>
  <c r="AW38" i="29"/>
  <c r="AD30" i="29"/>
  <c r="AQ30" i="29"/>
  <c r="AS30" i="29" s="1"/>
  <c r="AW30" i="29"/>
  <c r="BI16" i="33"/>
  <c r="BV16" i="33"/>
  <c r="BX16" i="33" s="1"/>
  <c r="CC16" i="33"/>
  <c r="AD13" i="33"/>
  <c r="AL13" i="33" s="1"/>
  <c r="AQ13" i="33"/>
  <c r="AS13" i="33" s="1"/>
  <c r="AW13" i="33"/>
  <c r="BI37" i="33"/>
  <c r="BV37" i="33"/>
  <c r="BX37" i="33" s="1"/>
  <c r="CC37" i="33"/>
  <c r="BI28" i="33"/>
  <c r="BV28" i="33"/>
  <c r="BX28" i="33" s="1"/>
  <c r="CC28" i="33"/>
  <c r="BI24" i="33"/>
  <c r="CC24" i="33"/>
  <c r="BV24" i="33"/>
  <c r="BX24" i="33" s="1"/>
  <c r="AQ19" i="33"/>
  <c r="AS19" i="33" s="1"/>
  <c r="AD19" i="33"/>
  <c r="AL19" i="33" s="1"/>
  <c r="AW19" i="33"/>
  <c r="AD29" i="33"/>
  <c r="AL29" i="33" s="1"/>
  <c r="AQ29" i="33"/>
  <c r="AS29" i="33" s="1"/>
  <c r="AW29" i="33"/>
  <c r="AD46" i="33"/>
  <c r="AL46" i="33" s="1"/>
  <c r="AQ46" i="33"/>
  <c r="AS46" i="33" s="1"/>
  <c r="AW46" i="33"/>
  <c r="BI8" i="33"/>
  <c r="BV8" i="33"/>
  <c r="BX8" i="33" s="1"/>
  <c r="CC8" i="33"/>
  <c r="BV32" i="33"/>
  <c r="BX32" i="33" s="1"/>
  <c r="BI32" i="33"/>
  <c r="CC32" i="33"/>
  <c r="BI50" i="33"/>
  <c r="BV50" i="33"/>
  <c r="BX50" i="33" s="1"/>
  <c r="CC50" i="33"/>
  <c r="BI34" i="33"/>
  <c r="BV34" i="33"/>
  <c r="BX34" i="33" s="1"/>
  <c r="CC34" i="33"/>
  <c r="BI44" i="33"/>
  <c r="CC44" i="33"/>
  <c r="BV44" i="33"/>
  <c r="BX44" i="33" s="1"/>
  <c r="BI18" i="33"/>
  <c r="BV18" i="33"/>
  <c r="BX18" i="33" s="1"/>
  <c r="CC18" i="33"/>
  <c r="BI13" i="33"/>
  <c r="BV13" i="33"/>
  <c r="BX13" i="33" s="1"/>
  <c r="CC13" i="33"/>
  <c r="BI10" i="33"/>
  <c r="BV10" i="33"/>
  <c r="BX10" i="33" s="1"/>
  <c r="CC10" i="33"/>
  <c r="BI6" i="33"/>
  <c r="BV6" i="33"/>
  <c r="BX6" i="33" s="1"/>
  <c r="CC6" i="33"/>
  <c r="AD21" i="33"/>
  <c r="AL21" i="33" s="1"/>
  <c r="AQ21" i="33"/>
  <c r="AS21" i="33" s="1"/>
  <c r="AW21" i="33"/>
  <c r="AQ27" i="33"/>
  <c r="AS27" i="33" s="1"/>
  <c r="AD27" i="33"/>
  <c r="AL27" i="33" s="1"/>
  <c r="AW27" i="33"/>
  <c r="AQ43" i="33"/>
  <c r="AS43" i="33" s="1"/>
  <c r="AD43" i="33"/>
  <c r="AL43" i="33" s="1"/>
  <c r="AW43" i="33"/>
  <c r="AD14" i="33"/>
  <c r="AL14" i="33" s="1"/>
  <c r="AQ14" i="33"/>
  <c r="AS14" i="33" s="1"/>
  <c r="AW14" i="33"/>
  <c r="BI26" i="33"/>
  <c r="BV26" i="33"/>
  <c r="BX26" i="33" s="1"/>
  <c r="CC26" i="33"/>
  <c r="AD38" i="33"/>
  <c r="AL38" i="33" s="1"/>
  <c r="AQ38" i="33"/>
  <c r="AS38" i="33" s="1"/>
  <c r="AW38" i="33"/>
  <c r="BI48" i="33"/>
  <c r="BV48" i="33"/>
  <c r="BX48" i="33" s="1"/>
  <c r="CC48" i="33"/>
  <c r="AD45" i="33"/>
  <c r="AL45" i="33" s="1"/>
  <c r="AQ45" i="33"/>
  <c r="AS45" i="33" s="1"/>
  <c r="AW45" i="33"/>
  <c r="BI36" i="33"/>
  <c r="BV36" i="33"/>
  <c r="BX36" i="33" s="1"/>
  <c r="CC36" i="33"/>
  <c r="AD30" i="33"/>
  <c r="AL30" i="33" s="1"/>
  <c r="AW30" i="33"/>
  <c r="AQ30" i="33"/>
  <c r="AS30" i="33" s="1"/>
  <c r="AQ51" i="33"/>
  <c r="AS51" i="33" s="1"/>
  <c r="AD51" i="33"/>
  <c r="AL51" i="33" s="1"/>
  <c r="AW51" i="33"/>
  <c r="AD37" i="33"/>
  <c r="AL37" i="33" s="1"/>
  <c r="AQ37" i="33"/>
  <c r="AS37" i="33" s="1"/>
  <c r="AW37" i="33"/>
  <c r="CC20" i="33"/>
  <c r="BV20" i="33"/>
  <c r="BX20" i="33" s="1"/>
  <c r="BI20" i="33"/>
  <c r="BI40" i="33"/>
  <c r="BV40" i="33"/>
  <c r="BX40" i="33" s="1"/>
  <c r="CC40" i="33"/>
  <c r="AQ35" i="33"/>
  <c r="AS35" i="33" s="1"/>
  <c r="AD35" i="33"/>
  <c r="AL35" i="33" s="1"/>
  <c r="AW35" i="33"/>
  <c r="BI42" i="33"/>
  <c r="BV42" i="33"/>
  <c r="BX42" i="33" s="1"/>
  <c r="CC42" i="33"/>
  <c r="AD22" i="33"/>
  <c r="AL22" i="33" s="1"/>
  <c r="AW22" i="33"/>
  <c r="AQ22" i="33"/>
  <c r="AS22" i="33" s="1"/>
  <c r="AQ11" i="33"/>
  <c r="AS11" i="33" s="1"/>
  <c r="AD11" i="33"/>
  <c r="AL11" i="33" s="1"/>
  <c r="AW11" i="33"/>
  <c r="AD6" i="33"/>
  <c r="AL6" i="33" s="1"/>
  <c r="AQ6" i="33"/>
  <c r="AS6" i="33" s="1"/>
  <c r="AW6" i="33"/>
  <c r="CD18" i="34"/>
  <c r="CC35" i="34"/>
  <c r="BI27" i="34"/>
  <c r="CB27" i="34"/>
  <c r="BV27" i="34"/>
  <c r="BX27" i="34" s="1"/>
  <c r="BV21" i="34"/>
  <c r="BX21" i="34" s="1"/>
  <c r="CB21" i="34"/>
  <c r="BI21" i="34"/>
  <c r="BQ21" i="34" s="1"/>
  <c r="BI51" i="34"/>
  <c r="CB51" i="34"/>
  <c r="BV51" i="34"/>
  <c r="BX51" i="34" s="1"/>
  <c r="BI15" i="34"/>
  <c r="BV15" i="34"/>
  <c r="BX15" i="34" s="1"/>
  <c r="CB15" i="34"/>
  <c r="CE15" i="34" s="1"/>
  <c r="AD41" i="34"/>
  <c r="AL41" i="34" s="1"/>
  <c r="AQ41" i="34"/>
  <c r="AS41" i="34" s="1"/>
  <c r="AU41" i="34" s="1"/>
  <c r="AW41" i="34"/>
  <c r="BV18" i="34"/>
  <c r="BX18" i="34" s="1"/>
  <c r="BI18" i="34"/>
  <c r="CB18" i="34"/>
  <c r="AD26" i="34"/>
  <c r="AL26" i="34" s="1"/>
  <c r="AW26" i="34"/>
  <c r="AQ26" i="34"/>
  <c r="AS26" i="34" s="1"/>
  <c r="AU26" i="34" s="1"/>
  <c r="CC18" i="34"/>
  <c r="BI24" i="34"/>
  <c r="BV24" i="34"/>
  <c r="BX24" i="34" s="1"/>
  <c r="CB24" i="34"/>
  <c r="CE24" i="34" s="1"/>
  <c r="BI22" i="34"/>
  <c r="BV22" i="34"/>
  <c r="BX22" i="34" s="1"/>
  <c r="CB22" i="34"/>
  <c r="CE22" i="34" s="1"/>
  <c r="AD50" i="34"/>
  <c r="AW50" i="34"/>
  <c r="CE50" i="34" s="1"/>
  <c r="AQ50" i="34"/>
  <c r="AS50" i="34" s="1"/>
  <c r="BI35" i="34"/>
  <c r="CB35" i="34"/>
  <c r="BV35" i="34"/>
  <c r="BX35" i="34" s="1"/>
  <c r="BI14" i="34"/>
  <c r="BQ14" i="34" s="1"/>
  <c r="BV14" i="34"/>
  <c r="BX14" i="34" s="1"/>
  <c r="BZ14" i="34" s="1"/>
  <c r="CB14" i="34"/>
  <c r="CE14" i="34" s="1"/>
  <c r="BI40" i="34"/>
  <c r="BQ40" i="34" s="1"/>
  <c r="BV40" i="34"/>
  <c r="BX40" i="34" s="1"/>
  <c r="BZ40" i="34" s="1"/>
  <c r="CC40" i="34" s="1"/>
  <c r="CB40" i="34"/>
  <c r="CE40" i="34" s="1"/>
  <c r="AD11" i="34"/>
  <c r="AW11" i="34"/>
  <c r="CE11" i="34" s="1"/>
  <c r="AQ11" i="34"/>
  <c r="AS11" i="34" s="1"/>
  <c r="AD49" i="34"/>
  <c r="AL49" i="34" s="1"/>
  <c r="AQ49" i="34"/>
  <c r="AS49" i="34" s="1"/>
  <c r="AU49" i="34" s="1"/>
  <c r="AW49" i="34"/>
  <c r="AD35" i="34"/>
  <c r="AW35" i="34"/>
  <c r="AQ35" i="34"/>
  <c r="AS35" i="34" s="1"/>
  <c r="AD18" i="34"/>
  <c r="AQ18" i="34"/>
  <c r="AS18" i="34" s="1"/>
  <c r="AW18" i="34"/>
  <c r="CE18" i="34" s="1"/>
  <c r="BI45" i="34"/>
  <c r="BQ45" i="34" s="1"/>
  <c r="BV45" i="34"/>
  <c r="BX45" i="34" s="1"/>
  <c r="BZ45" i="34" s="1"/>
  <c r="CB45" i="34"/>
  <c r="BI23" i="34"/>
  <c r="BV23" i="34"/>
  <c r="BX23" i="34" s="1"/>
  <c r="CB23" i="34"/>
  <c r="CE23" i="34" s="1"/>
  <c r="AD17" i="34"/>
  <c r="AL17" i="34" s="1"/>
  <c r="AQ17" i="34"/>
  <c r="AS17" i="34" s="1"/>
  <c r="AU17" i="34" s="1"/>
  <c r="AW17" i="34"/>
  <c r="CC11" i="34"/>
  <c r="AD51" i="34"/>
  <c r="AW51" i="34"/>
  <c r="CE51" i="34" s="1"/>
  <c r="AQ51" i="34"/>
  <c r="AS51" i="34" s="1"/>
  <c r="BI26" i="34"/>
  <c r="BQ26" i="34" s="1"/>
  <c r="BV26" i="34"/>
  <c r="BX26" i="34" s="1"/>
  <c r="BZ26" i="34" s="1"/>
  <c r="CC26" i="34" s="1"/>
  <c r="CB26" i="34"/>
  <c r="AD42" i="34"/>
  <c r="AW42" i="34"/>
  <c r="CE42" i="34" s="1"/>
  <c r="AQ42" i="34"/>
  <c r="AS42" i="34" s="1"/>
  <c r="AD43" i="34"/>
  <c r="AW43" i="34"/>
  <c r="AQ43" i="34"/>
  <c r="AS43" i="34" s="1"/>
  <c r="BI37" i="34"/>
  <c r="CB37" i="34"/>
  <c r="CE37" i="34" s="1"/>
  <c r="BV37" i="34"/>
  <c r="BX37" i="34" s="1"/>
  <c r="AD9" i="34"/>
  <c r="AQ9" i="34"/>
  <c r="AS9" i="34" s="1"/>
  <c r="AW9" i="34"/>
  <c r="BI29" i="34"/>
  <c r="CB29" i="34"/>
  <c r="BV29" i="34"/>
  <c r="BX29" i="34" s="1"/>
  <c r="CD10" i="34"/>
  <c r="AD34" i="34"/>
  <c r="AL34" i="34" s="1"/>
  <c r="AW34" i="34"/>
  <c r="CE34" i="34" s="1"/>
  <c r="AQ34" i="34"/>
  <c r="AS34" i="34" s="1"/>
  <c r="AU34" i="34" s="1"/>
  <c r="CC34" i="34" s="1"/>
  <c r="BI48" i="34"/>
  <c r="BQ48" i="34" s="1"/>
  <c r="BV48" i="34"/>
  <c r="BX48" i="34" s="1"/>
  <c r="BZ48" i="34" s="1"/>
  <c r="CC48" i="34" s="1"/>
  <c r="CB48" i="34"/>
  <c r="CE48" i="34" s="1"/>
  <c r="BI16" i="34"/>
  <c r="BV16" i="34"/>
  <c r="BX16" i="34" s="1"/>
  <c r="CB16" i="34"/>
  <c r="CE16" i="34" s="1"/>
  <c r="AD33" i="34"/>
  <c r="AQ33" i="34"/>
  <c r="AS33" i="34" s="1"/>
  <c r="AW33" i="34"/>
  <c r="BI32" i="34"/>
  <c r="BV32" i="34"/>
  <c r="BX32" i="34" s="1"/>
  <c r="CB32" i="34"/>
  <c r="CE32" i="34" s="1"/>
  <c r="CD27" i="34"/>
  <c r="AD10" i="34"/>
  <c r="AL10" i="34" s="1"/>
  <c r="AQ10" i="34"/>
  <c r="AS10" i="34" s="1"/>
  <c r="AU10" i="34" s="1"/>
  <c r="AW10" i="34"/>
  <c r="BI8" i="34"/>
  <c r="BQ8" i="34" s="1"/>
  <c r="CB8" i="34"/>
  <c r="CE8" i="34" s="1"/>
  <c r="BV8" i="34"/>
  <c r="BX8" i="34" s="1"/>
  <c r="BZ8" i="34" s="1"/>
  <c r="CC8" i="34" s="1"/>
  <c r="CD43" i="34"/>
  <c r="AD25" i="34"/>
  <c r="AQ25" i="34"/>
  <c r="AS25" i="34" s="1"/>
  <c r="AW25" i="34"/>
  <c r="CE25" i="34" s="1"/>
  <c r="BI38" i="34"/>
  <c r="BV38" i="34"/>
  <c r="BX38" i="34" s="1"/>
  <c r="CB38" i="34"/>
  <c r="CE38" i="34" s="1"/>
  <c r="BV13" i="34"/>
  <c r="BX13" i="34" s="1"/>
  <c r="CB13" i="34"/>
  <c r="CE13" i="34" s="1"/>
  <c r="BI13" i="34"/>
  <c r="CD35" i="34"/>
  <c r="CB43" i="34"/>
  <c r="BI43" i="34"/>
  <c r="BV43" i="34"/>
  <c r="BX43" i="34" s="1"/>
  <c r="BI10" i="34"/>
  <c r="BQ10" i="34" s="1"/>
  <c r="BV10" i="34"/>
  <c r="BX10" i="34" s="1"/>
  <c r="CB10" i="34"/>
  <c r="AD27" i="34"/>
  <c r="AQ27" i="34"/>
  <c r="AS27" i="34" s="1"/>
  <c r="AW27" i="34"/>
  <c r="CE27" i="34" s="1"/>
  <c r="BI7" i="34"/>
  <c r="CB7" i="34"/>
  <c r="CE7" i="34" s="1"/>
  <c r="BV7" i="34"/>
  <c r="BX7" i="34" s="1"/>
  <c r="AD19" i="34"/>
  <c r="AW19" i="34"/>
  <c r="CE19" i="34" s="1"/>
  <c r="AQ19" i="34"/>
  <c r="AS19" i="34" s="1"/>
  <c r="CC27" i="34"/>
  <c r="BI6" i="34"/>
  <c r="BQ6" i="34" s="1"/>
  <c r="BV6" i="34"/>
  <c r="BX6" i="34" s="1"/>
  <c r="BZ6" i="34" s="1"/>
  <c r="CC6" i="34" s="1"/>
  <c r="CB6" i="34"/>
  <c r="DU50" i="30"/>
  <c r="EG50" i="30"/>
  <c r="EI50" i="30" s="1"/>
  <c r="EJ50" i="30" s="1"/>
  <c r="EK50" i="30"/>
  <c r="EL21" i="30"/>
  <c r="DS21" i="30"/>
  <c r="EA21" i="30" s="1"/>
  <c r="EF21" i="30"/>
  <c r="EH21" i="30" s="1"/>
  <c r="EJ21" i="30" s="1"/>
  <c r="CN22" i="30"/>
  <c r="DG22" i="30"/>
  <c r="DA22" i="30"/>
  <c r="DC22" i="30" s="1"/>
  <c r="EK34" i="30"/>
  <c r="EG34" i="30"/>
  <c r="EI34" i="30" s="1"/>
  <c r="EJ34" i="30" s="1"/>
  <c r="DU34" i="30"/>
  <c r="CN13" i="30"/>
  <c r="CV13" i="30" s="1"/>
  <c r="DA13" i="30"/>
  <c r="DC13" i="30" s="1"/>
  <c r="DE13" i="30" s="1"/>
  <c r="DG13" i="30"/>
  <c r="CN49" i="30"/>
  <c r="DA49" i="30"/>
  <c r="DG49" i="30"/>
  <c r="BI53" i="30"/>
  <c r="BV53" i="30"/>
  <c r="BX53" i="30" s="1"/>
  <c r="CB53" i="30"/>
  <c r="EF48" i="30"/>
  <c r="EH48" i="30" s="1"/>
  <c r="EJ48" i="30" s="1"/>
  <c r="EL48" i="30"/>
  <c r="DS48" i="30"/>
  <c r="EA48" i="30" s="1"/>
  <c r="CN40" i="30"/>
  <c r="DG40" i="30"/>
  <c r="DA40" i="30"/>
  <c r="DC40" i="30" s="1"/>
  <c r="DC33" i="30"/>
  <c r="DD33" i="30"/>
  <c r="DE33" i="30" s="1"/>
  <c r="BI25" i="30"/>
  <c r="BV25" i="30"/>
  <c r="BX25" i="30" s="1"/>
  <c r="CB25" i="30"/>
  <c r="DG28" i="30"/>
  <c r="CN28" i="30"/>
  <c r="CV28" i="30" s="1"/>
  <c r="DA28" i="30"/>
  <c r="DC28" i="30" s="1"/>
  <c r="DE28" i="30" s="1"/>
  <c r="DU52" i="30"/>
  <c r="EG52" i="30"/>
  <c r="EI52" i="30" s="1"/>
  <c r="EK52" i="30"/>
  <c r="EF59" i="30"/>
  <c r="EH59" i="30" s="1"/>
  <c r="EL59" i="30"/>
  <c r="DS59" i="30"/>
  <c r="BI40" i="30"/>
  <c r="BV40" i="30"/>
  <c r="BX40" i="30" s="1"/>
  <c r="CB40" i="30"/>
  <c r="BK50" i="30"/>
  <c r="BW50" i="30"/>
  <c r="BY50" i="30" s="1"/>
  <c r="BZ50" i="30" s="1"/>
  <c r="CA50" i="30"/>
  <c r="DA31" i="30"/>
  <c r="DC31" i="30" s="1"/>
  <c r="DG31" i="30"/>
  <c r="CN31" i="30"/>
  <c r="DS41" i="30"/>
  <c r="EA41" i="30" s="1"/>
  <c r="EF41" i="30"/>
  <c r="EH41" i="30" s="1"/>
  <c r="EL41" i="30"/>
  <c r="BI32" i="30"/>
  <c r="BV32" i="30"/>
  <c r="BX32" i="30" s="1"/>
  <c r="CB32" i="30"/>
  <c r="DC25" i="30"/>
  <c r="DD25" i="30"/>
  <c r="DE25" i="30" s="1"/>
  <c r="DS22" i="30"/>
  <c r="EL22" i="30"/>
  <c r="EF22" i="30"/>
  <c r="EH22" i="30" s="1"/>
  <c r="BI56" i="30"/>
  <c r="BQ56" i="30" s="1"/>
  <c r="BV56" i="30"/>
  <c r="BX56" i="30" s="1"/>
  <c r="BZ56" i="30" s="1"/>
  <c r="CB56" i="30"/>
  <c r="BK18" i="30"/>
  <c r="CA18" i="30"/>
  <c r="BW18" i="30"/>
  <c r="BY18" i="30" s="1"/>
  <c r="BZ18" i="30" s="1"/>
  <c r="CN26" i="30"/>
  <c r="DA26" i="30"/>
  <c r="DC26" i="30" s="1"/>
  <c r="DG26" i="30"/>
  <c r="BK35" i="30"/>
  <c r="BW35" i="30"/>
  <c r="CA35" i="30"/>
  <c r="EF15" i="30"/>
  <c r="EH15" i="30" s="1"/>
  <c r="DS15" i="30"/>
  <c r="EA15" i="30" s="1"/>
  <c r="EL15" i="30"/>
  <c r="DU18" i="30"/>
  <c r="EK18" i="30"/>
  <c r="EG18" i="30"/>
  <c r="EI18" i="30" s="1"/>
  <c r="EJ18" i="30" s="1"/>
  <c r="AD48" i="30"/>
  <c r="AL48" i="30" s="1"/>
  <c r="AQ48" i="30"/>
  <c r="AS48" i="30" s="1"/>
  <c r="AU48" i="30" s="1"/>
  <c r="AW48" i="30"/>
  <c r="DC17" i="30"/>
  <c r="DD17" i="30"/>
  <c r="DA47" i="30"/>
  <c r="DC47" i="30" s="1"/>
  <c r="CN47" i="30"/>
  <c r="CV47" i="30" s="1"/>
  <c r="DG47" i="30"/>
  <c r="DC49" i="30"/>
  <c r="DD49" i="30"/>
  <c r="DE49" i="30" s="1"/>
  <c r="AD25" i="30"/>
  <c r="AQ25" i="30"/>
  <c r="AS25" i="30" s="1"/>
  <c r="AW25" i="30"/>
  <c r="AD49" i="30"/>
  <c r="AQ49" i="30"/>
  <c r="AS49" i="30" s="1"/>
  <c r="AW49" i="30"/>
  <c r="DD41" i="30"/>
  <c r="BI55" i="30"/>
  <c r="BQ55" i="30" s="1"/>
  <c r="BV55" i="30"/>
  <c r="BX55" i="30" s="1"/>
  <c r="BZ55" i="30" s="1"/>
  <c r="CB55" i="30"/>
  <c r="DS45" i="30"/>
  <c r="EL45" i="30"/>
  <c r="EF45" i="30"/>
  <c r="EH45" i="30" s="1"/>
  <c r="DU36" i="30"/>
  <c r="EG36" i="30"/>
  <c r="EI36" i="30" s="1"/>
  <c r="EJ36" i="30" s="1"/>
  <c r="EK36" i="30"/>
  <c r="EF31" i="30"/>
  <c r="EH31" i="30" s="1"/>
  <c r="EL31" i="30"/>
  <c r="DS31" i="30"/>
  <c r="EF35" i="30"/>
  <c r="EH35" i="30" s="1"/>
  <c r="EL35" i="30"/>
  <c r="DS35" i="30"/>
  <c r="BK26" i="30"/>
  <c r="BW26" i="30"/>
  <c r="BY26" i="30" s="1"/>
  <c r="BZ26" i="30" s="1"/>
  <c r="CA26" i="30"/>
  <c r="DU28" i="30"/>
  <c r="EG28" i="30"/>
  <c r="EI28" i="30" s="1"/>
  <c r="EK28" i="30"/>
  <c r="BK27" i="30"/>
  <c r="BW27" i="30"/>
  <c r="BY27" i="30" s="1"/>
  <c r="BZ27" i="30" s="1"/>
  <c r="CA27" i="30"/>
  <c r="EF27" i="30"/>
  <c r="EH27" i="30" s="1"/>
  <c r="DS27" i="30"/>
  <c r="EL27" i="30"/>
  <c r="BK59" i="30"/>
  <c r="BW59" i="30"/>
  <c r="BY59" i="30" s="1"/>
  <c r="BZ59" i="30" s="1"/>
  <c r="CA59" i="30"/>
  <c r="DS46" i="30"/>
  <c r="EA46" i="30" s="1"/>
  <c r="EL46" i="30"/>
  <c r="EF46" i="30"/>
  <c r="EH46" i="30" s="1"/>
  <c r="EJ46" i="30" s="1"/>
  <c r="CN37" i="30"/>
  <c r="DG37" i="30"/>
  <c r="DA37" i="30"/>
  <c r="DC37" i="30" s="1"/>
  <c r="BI49" i="30"/>
  <c r="BV49" i="30"/>
  <c r="BX49" i="30" s="1"/>
  <c r="CB49" i="30"/>
  <c r="BK51" i="30"/>
  <c r="CA51" i="30"/>
  <c r="BW51" i="30"/>
  <c r="BI21" i="30"/>
  <c r="BQ21" i="30" s="1"/>
  <c r="BV21" i="30"/>
  <c r="BX21" i="30" s="1"/>
  <c r="CB21" i="30"/>
  <c r="CN38" i="30"/>
  <c r="CV38" i="30" s="1"/>
  <c r="DG38" i="30"/>
  <c r="DA38" i="30"/>
  <c r="DC38" i="30" s="1"/>
  <c r="DS29" i="30"/>
  <c r="EF29" i="30"/>
  <c r="EH29" i="30" s="1"/>
  <c r="EL29" i="30"/>
  <c r="DS38" i="30"/>
  <c r="EA38" i="30" s="1"/>
  <c r="EL38" i="30"/>
  <c r="EF38" i="30"/>
  <c r="EH38" i="30" s="1"/>
  <c r="EJ38" i="30" s="1"/>
  <c r="AD32" i="30"/>
  <c r="AQ32" i="30"/>
  <c r="AS32" i="30" s="1"/>
  <c r="AW32" i="30"/>
  <c r="CN46" i="30"/>
  <c r="CV46" i="30" s="1"/>
  <c r="DA46" i="30"/>
  <c r="DC46" i="30" s="1"/>
  <c r="DE46" i="30" s="1"/>
  <c r="DG46" i="30"/>
  <c r="BI39" i="30"/>
  <c r="BV39" i="30"/>
  <c r="BX39" i="30" s="1"/>
  <c r="CB39" i="30"/>
  <c r="EK26" i="30"/>
  <c r="DU26" i="30"/>
  <c r="EG26" i="30"/>
  <c r="EI26" i="30" s="1"/>
  <c r="EJ26" i="30" s="1"/>
  <c r="CP52" i="30"/>
  <c r="DB52" i="30"/>
  <c r="DD52" i="30" s="1"/>
  <c r="DF52" i="30"/>
  <c r="AD33" i="30"/>
  <c r="AL33" i="30" s="1"/>
  <c r="AQ33" i="30"/>
  <c r="AS33" i="30" s="1"/>
  <c r="AU33" i="30" s="1"/>
  <c r="AW33" i="30"/>
  <c r="AD16" i="30"/>
  <c r="AQ16" i="30"/>
  <c r="AS16" i="30" s="1"/>
  <c r="AW16" i="30"/>
  <c r="AD17" i="30"/>
  <c r="AL17" i="30" s="1"/>
  <c r="AQ17" i="30"/>
  <c r="AS17" i="30" s="1"/>
  <c r="AU17" i="30" s="1"/>
  <c r="AW17" i="30"/>
  <c r="BI48" i="30"/>
  <c r="BQ48" i="30" s="1"/>
  <c r="BV48" i="30"/>
  <c r="BX48" i="30" s="1"/>
  <c r="CB48" i="30"/>
  <c r="DU20" i="30"/>
  <c r="EG20" i="30"/>
  <c r="EI20" i="30" s="1"/>
  <c r="EJ20" i="30" s="1"/>
  <c r="EK20" i="30"/>
  <c r="DA24" i="30"/>
  <c r="DC24" i="30" s="1"/>
  <c r="DE24" i="30" s="1"/>
  <c r="CN24" i="30"/>
  <c r="CV24" i="30" s="1"/>
  <c r="DG24" i="30"/>
  <c r="DA14" i="30"/>
  <c r="DC14" i="30" s="1"/>
  <c r="DG14" i="30"/>
  <c r="CN14" i="30"/>
  <c r="EF16" i="30"/>
  <c r="EH16" i="30" s="1"/>
  <c r="DS16" i="30"/>
  <c r="EL16" i="30"/>
  <c r="EF47" i="30"/>
  <c r="EH47" i="30" s="1"/>
  <c r="EJ47" i="30" s="1"/>
  <c r="EL47" i="30"/>
  <c r="DS47" i="30"/>
  <c r="EA47" i="30" s="1"/>
  <c r="CN29" i="30"/>
  <c r="DA29" i="30"/>
  <c r="DC29" i="30" s="1"/>
  <c r="DG29" i="30"/>
  <c r="BV24" i="30"/>
  <c r="BX24" i="30" s="1"/>
  <c r="BI24" i="30"/>
  <c r="BQ24" i="30" s="1"/>
  <c r="CB24" i="30"/>
  <c r="AD56" i="30"/>
  <c r="AL56" i="30" s="1"/>
  <c r="AQ56" i="30"/>
  <c r="AS56" i="30" s="1"/>
  <c r="AW56" i="30"/>
  <c r="BK43" i="30"/>
  <c r="BW43" i="30"/>
  <c r="BY43" i="30" s="1"/>
  <c r="CA43" i="30"/>
  <c r="BI37" i="30"/>
  <c r="BV37" i="30"/>
  <c r="BX37" i="30" s="1"/>
  <c r="CB37" i="30"/>
  <c r="BK34" i="30"/>
  <c r="BW34" i="30"/>
  <c r="CA34" i="30"/>
  <c r="DA15" i="30"/>
  <c r="DC15" i="30" s="1"/>
  <c r="DE15" i="30" s="1"/>
  <c r="CN15" i="30"/>
  <c r="CV15" i="30" s="1"/>
  <c r="DG15" i="30"/>
  <c r="DG30" i="30"/>
  <c r="DA30" i="30"/>
  <c r="DC30" i="30" s="1"/>
  <c r="CN30" i="30"/>
  <c r="DG54" i="30"/>
  <c r="CN54" i="30"/>
  <c r="DA54" i="30"/>
  <c r="DC54" i="30" s="1"/>
  <c r="DS53" i="30"/>
  <c r="EL53" i="30"/>
  <c r="EF53" i="30"/>
  <c r="EH53" i="30" s="1"/>
  <c r="EF51" i="30"/>
  <c r="EH51" i="30" s="1"/>
  <c r="DS51" i="30"/>
  <c r="EL51" i="30"/>
  <c r="BK58" i="30"/>
  <c r="BW58" i="30"/>
  <c r="BY58" i="30" s="1"/>
  <c r="BZ58" i="30" s="1"/>
  <c r="CA58" i="30"/>
  <c r="CN41" i="30"/>
  <c r="CV41" i="30" s="1"/>
  <c r="DA41" i="30"/>
  <c r="DC41" i="30" s="1"/>
  <c r="DG41" i="30"/>
  <c r="DA55" i="30"/>
  <c r="DC55" i="30" s="1"/>
  <c r="DG55" i="30"/>
  <c r="CN55" i="30"/>
  <c r="CV55" i="30" s="1"/>
  <c r="BI44" i="30"/>
  <c r="CB44" i="30"/>
  <c r="BV44" i="30"/>
  <c r="BX44" i="30" s="1"/>
  <c r="BI33" i="30"/>
  <c r="BQ33" i="30" s="1"/>
  <c r="CB33" i="30"/>
  <c r="BV33" i="30"/>
  <c r="BX33" i="30" s="1"/>
  <c r="DS13" i="30"/>
  <c r="EA13" i="30" s="1"/>
  <c r="EL13" i="30"/>
  <c r="EF13" i="30"/>
  <c r="EH13" i="30" s="1"/>
  <c r="EJ13" i="30" s="1"/>
  <c r="BY51" i="30"/>
  <c r="BZ51" i="30" s="1"/>
  <c r="DU44" i="30"/>
  <c r="EG44" i="30"/>
  <c r="EI44" i="30" s="1"/>
  <c r="EJ44" i="30" s="1"/>
  <c r="EK44" i="30"/>
  <c r="CN50" i="30"/>
  <c r="DA50" i="30"/>
  <c r="DC50" i="30" s="1"/>
  <c r="DG50" i="30"/>
  <c r="BI17" i="30"/>
  <c r="BQ17" i="30" s="1"/>
  <c r="BV17" i="30"/>
  <c r="BX17" i="30" s="1"/>
  <c r="BZ17" i="30" s="1"/>
  <c r="CB17" i="30"/>
  <c r="EL24" i="30"/>
  <c r="DS24" i="30"/>
  <c r="EA24" i="30" s="1"/>
  <c r="EF24" i="30"/>
  <c r="EH24" i="30" s="1"/>
  <c r="EJ24" i="30" s="1"/>
  <c r="BI30" i="30"/>
  <c r="CB30" i="30"/>
  <c r="BV30" i="30"/>
  <c r="BX30" i="30" s="1"/>
  <c r="CN20" i="30"/>
  <c r="DA20" i="30"/>
  <c r="DC20" i="30" s="1"/>
  <c r="DG20" i="30"/>
  <c r="BI57" i="30"/>
  <c r="BV57" i="30"/>
  <c r="BX57" i="30" s="1"/>
  <c r="CB57" i="30"/>
  <c r="AD41" i="30"/>
  <c r="AL41" i="30" s="1"/>
  <c r="AQ41" i="30"/>
  <c r="AS41" i="30" s="1"/>
  <c r="AU41" i="30" s="1"/>
  <c r="AW41" i="30"/>
  <c r="BI16" i="30"/>
  <c r="BV16" i="30"/>
  <c r="BX16" i="30" s="1"/>
  <c r="CB16" i="30"/>
  <c r="CP44" i="30"/>
  <c r="DB44" i="30"/>
  <c r="DD44" i="30" s="1"/>
  <c r="DE44" i="30" s="1"/>
  <c r="DF44" i="30"/>
  <c r="D4" i="17" s="1"/>
  <c r="AD57" i="30"/>
  <c r="AQ57" i="30"/>
  <c r="AS57" i="30" s="1"/>
  <c r="AW57" i="30"/>
  <c r="AD40" i="30"/>
  <c r="AQ40" i="30"/>
  <c r="AS40" i="30" s="1"/>
  <c r="AW40" i="30"/>
  <c r="EF37" i="30"/>
  <c r="EH37" i="30" s="1"/>
  <c r="EL37" i="30"/>
  <c r="DS37" i="30"/>
  <c r="BI41" i="30"/>
  <c r="BQ41" i="30" s="1"/>
  <c r="CB41" i="30"/>
  <c r="BV41" i="30"/>
  <c r="BX41" i="30" s="1"/>
  <c r="BZ41" i="30" s="1"/>
  <c r="BY35" i="30"/>
  <c r="BZ35" i="30" s="1"/>
  <c r="EF43" i="30"/>
  <c r="EH43" i="30" s="1"/>
  <c r="EJ43" i="30" s="1"/>
  <c r="DS43" i="30"/>
  <c r="EA43" i="30" s="1"/>
  <c r="EL43" i="30"/>
  <c r="EF49" i="30"/>
  <c r="EH49" i="30" s="1"/>
  <c r="EL49" i="30"/>
  <c r="DS49" i="30"/>
  <c r="BY34" i="30"/>
  <c r="BZ34" i="30" s="1"/>
  <c r="BW42" i="30"/>
  <c r="BY42" i="30" s="1"/>
  <c r="BZ42" i="30" s="1"/>
  <c r="BK42" i="30"/>
  <c r="CA42" i="30"/>
  <c r="AD24" i="30"/>
  <c r="AL24" i="30" s="1"/>
  <c r="AQ24" i="30"/>
  <c r="AS24" i="30" s="1"/>
  <c r="AU24" i="30" s="1"/>
  <c r="AW24" i="30"/>
  <c r="DC57" i="30"/>
  <c r="DD57" i="30"/>
  <c r="DE57" i="30" s="1"/>
  <c r="BV23" i="30"/>
  <c r="BX23" i="30" s="1"/>
  <c r="BI23" i="30"/>
  <c r="CB23" i="30"/>
  <c r="EG42" i="30"/>
  <c r="EI42" i="30" s="1"/>
  <c r="EJ42" i="30" s="1"/>
  <c r="DU42" i="30"/>
  <c r="EK42" i="30"/>
  <c r="DA56" i="30"/>
  <c r="DC56" i="30" s="1"/>
  <c r="DE56" i="30" s="1"/>
  <c r="DG56" i="30"/>
  <c r="CN56" i="30"/>
  <c r="CV56" i="30" s="1"/>
  <c r="BK19" i="30"/>
  <c r="CA19" i="30"/>
  <c r="BW19" i="30"/>
  <c r="BY19" i="30" s="1"/>
  <c r="BZ19" i="30" s="1"/>
  <c r="EK58" i="30"/>
  <c r="EG58" i="30"/>
  <c r="EI58" i="30" s="1"/>
  <c r="EJ58" i="30" s="1"/>
  <c r="DU58" i="30"/>
  <c r="BI28" i="30"/>
  <c r="BQ28" i="30" s="1"/>
  <c r="BV28" i="30"/>
  <c r="BX28" i="30" s="1"/>
  <c r="CB28" i="30"/>
  <c r="DS54" i="30"/>
  <c r="EL54" i="30"/>
  <c r="EF54" i="30"/>
  <c r="EH54" i="30" s="1"/>
  <c r="EF19" i="30"/>
  <c r="EH19" i="30" s="1"/>
  <c r="DS19" i="30"/>
  <c r="EL19" i="30"/>
  <c r="CN36" i="30"/>
  <c r="DA36" i="30"/>
  <c r="DC36" i="30" s="1"/>
  <c r="DG36" i="30"/>
  <c r="AT25" i="29"/>
  <c r="AU25" i="29" s="1"/>
  <c r="AD26" i="29"/>
  <c r="AL26" i="29" s="1"/>
  <c r="AW26" i="29"/>
  <c r="AQ26" i="29"/>
  <c r="AS26" i="29" s="1"/>
  <c r="AU26" i="29" s="1"/>
  <c r="AQ52" i="29"/>
  <c r="AS52" i="29" s="1"/>
  <c r="AD52" i="29"/>
  <c r="AW52" i="29"/>
  <c r="D7" i="17"/>
  <c r="D12" i="17"/>
  <c r="AT41" i="29"/>
  <c r="AD41" i="29"/>
  <c r="AL41" i="29" s="1"/>
  <c r="AQ41" i="29"/>
  <c r="AS41" i="29" s="1"/>
  <c r="AW41" i="29"/>
  <c r="AD48" i="29"/>
  <c r="AL48" i="29" s="1"/>
  <c r="AQ48" i="29"/>
  <c r="AS48" i="29" s="1"/>
  <c r="AW48" i="29"/>
  <c r="AD34" i="29"/>
  <c r="AL34" i="29" s="1"/>
  <c r="AW34" i="29"/>
  <c r="AQ34" i="29"/>
  <c r="AS34" i="29" s="1"/>
  <c r="AT33" i="29"/>
  <c r="AU33" i="29" s="1"/>
  <c r="AD8" i="29"/>
  <c r="AL8" i="29" s="1"/>
  <c r="AQ8" i="29"/>
  <c r="AS8" i="29" s="1"/>
  <c r="AU8" i="29" s="1"/>
  <c r="AW8" i="29"/>
  <c r="AD42" i="29"/>
  <c r="AW42" i="29"/>
  <c r="AQ42" i="29"/>
  <c r="AS42" i="29" s="1"/>
  <c r="AD33" i="29"/>
  <c r="AQ33" i="29"/>
  <c r="AS33" i="29" s="1"/>
  <c r="AW33" i="29"/>
  <c r="AD40" i="29"/>
  <c r="AL40" i="29" s="1"/>
  <c r="AQ40" i="29"/>
  <c r="AS40" i="29" s="1"/>
  <c r="AW40" i="29"/>
  <c r="AD7" i="29"/>
  <c r="AW7" i="29"/>
  <c r="AQ7" i="29"/>
  <c r="AS7" i="29" s="1"/>
  <c r="AD17" i="29"/>
  <c r="AL17" i="29" s="1"/>
  <c r="AQ17" i="29"/>
  <c r="AS17" i="29" s="1"/>
  <c r="AW17" i="29"/>
  <c r="AT49" i="29"/>
  <c r="AD23" i="29"/>
  <c r="AQ23" i="29"/>
  <c r="AS23" i="29" s="1"/>
  <c r="AW23" i="29"/>
  <c r="AD49" i="29"/>
  <c r="AL49" i="29" s="1"/>
  <c r="AQ49" i="29"/>
  <c r="AS49" i="29" s="1"/>
  <c r="AW49" i="29"/>
  <c r="AD39" i="29"/>
  <c r="AL39" i="29" s="1"/>
  <c r="AW39" i="29"/>
  <c r="AQ39" i="29"/>
  <c r="AS39" i="29" s="1"/>
  <c r="AU39" i="29" s="1"/>
  <c r="AD10" i="29"/>
  <c r="AL10" i="29" s="1"/>
  <c r="AW10" i="29"/>
  <c r="AQ10" i="29"/>
  <c r="AS10" i="29" s="1"/>
  <c r="AU10" i="29" s="1"/>
  <c r="AD16" i="29"/>
  <c r="AQ16" i="29"/>
  <c r="AS16" i="29" s="1"/>
  <c r="AW16" i="29"/>
  <c r="AD18" i="29"/>
  <c r="AW18" i="29"/>
  <c r="AQ18" i="29"/>
  <c r="AS18" i="29" s="1"/>
  <c r="AT9" i="29"/>
  <c r="AU9" i="29" s="1"/>
  <c r="AD9" i="29"/>
  <c r="AQ9" i="29"/>
  <c r="AS9" i="29" s="1"/>
  <c r="AW9" i="29"/>
  <c r="AD50" i="29"/>
  <c r="AW50" i="29"/>
  <c r="AQ50" i="29"/>
  <c r="AS50" i="29" s="1"/>
  <c r="AT17" i="29"/>
  <c r="AD25" i="29"/>
  <c r="AW25" i="29"/>
  <c r="AQ25" i="29"/>
  <c r="AS25" i="29" s="1"/>
  <c r="AD32" i="29"/>
  <c r="AQ32" i="29"/>
  <c r="AS32" i="29" s="1"/>
  <c r="AW32" i="29"/>
  <c r="AQ44" i="29"/>
  <c r="AS44" i="29" s="1"/>
  <c r="AW44" i="29"/>
  <c r="AD44" i="29"/>
  <c r="AD24" i="29"/>
  <c r="AQ24" i="29"/>
  <c r="AS24" i="29" s="1"/>
  <c r="AW24" i="29"/>
  <c r="AD47" i="29"/>
  <c r="AQ47" i="29"/>
  <c r="AS47" i="29" s="1"/>
  <c r="AW47" i="29"/>
  <c r="AT5" i="34"/>
  <c r="AU5" i="34" s="1"/>
  <c r="AW5" i="34"/>
  <c r="AQ5" i="34"/>
  <c r="AS5" i="34" s="1"/>
  <c r="CA12" i="30"/>
  <c r="AT5" i="29"/>
  <c r="AU5" i="29" s="1"/>
  <c r="AS5" i="29"/>
  <c r="BZ12" i="30"/>
  <c r="BK12" i="30"/>
  <c r="BV12" i="30" s="1"/>
  <c r="BX12" i="30" s="1"/>
  <c r="BX5" i="33"/>
  <c r="BI5" i="33"/>
  <c r="BQ5" i="33" s="1"/>
  <c r="CC5" i="33"/>
  <c r="BZ5" i="33"/>
  <c r="BY5" i="34"/>
  <c r="BZ5" i="34" s="1"/>
  <c r="BI5" i="34"/>
  <c r="BV5" i="34"/>
  <c r="BX5" i="34" s="1"/>
  <c r="CB5" i="34"/>
  <c r="DD12" i="30"/>
  <c r="DE12" i="30" s="1"/>
  <c r="EI12" i="30"/>
  <c r="EJ12" i="30" s="1"/>
  <c r="DS12" i="30"/>
  <c r="EF12" i="30"/>
  <c r="EH12" i="30" s="1"/>
  <c r="EL12" i="30"/>
  <c r="DG12" i="30"/>
  <c r="CN12" i="30"/>
  <c r="DA12" i="30"/>
  <c r="DC12" i="30" s="1"/>
  <c r="AV12" i="30"/>
  <c r="D6" i="17" s="1"/>
  <c r="AF12" i="30"/>
  <c r="AW12" i="30" s="1"/>
  <c r="AT12" i="30"/>
  <c r="AU12" i="30" s="1"/>
  <c r="AE36" i="5"/>
  <c r="AV36" i="5" s="1"/>
  <c r="AE50" i="5"/>
  <c r="AV50" i="5" s="1"/>
  <c r="AE28" i="5"/>
  <c r="AV28" i="5" s="1"/>
  <c r="AE10" i="5"/>
  <c r="AV10" i="5" s="1"/>
  <c r="AE26" i="5"/>
  <c r="AV26" i="5" s="1"/>
  <c r="AE42" i="5"/>
  <c r="AV42" i="5" s="1"/>
  <c r="AM16" i="5"/>
  <c r="AG28" i="5"/>
  <c r="AG12" i="5"/>
  <c r="AE44" i="5"/>
  <c r="AV44" i="5" s="1"/>
  <c r="AM48" i="5"/>
  <c r="AL12" i="5"/>
  <c r="AE12" i="5"/>
  <c r="AF12" i="5" s="1"/>
  <c r="AG44" i="5"/>
  <c r="AE11" i="5"/>
  <c r="AV11" i="5" s="1"/>
  <c r="AM37" i="5"/>
  <c r="V43" i="5"/>
  <c r="AM15" i="5"/>
  <c r="AG15" i="5"/>
  <c r="AM8" i="5"/>
  <c r="AG8" i="5"/>
  <c r="AM14" i="5"/>
  <c r="AG14" i="5"/>
  <c r="AM23" i="5"/>
  <c r="AG23" i="5"/>
  <c r="V34" i="5"/>
  <c r="AL42" i="5"/>
  <c r="AM24" i="5"/>
  <c r="AG24" i="5"/>
  <c r="V15" i="5"/>
  <c r="V47" i="5"/>
  <c r="AL50" i="5"/>
  <c r="AM39" i="5"/>
  <c r="AG39" i="5"/>
  <c r="AL34" i="5"/>
  <c r="V28" i="5"/>
  <c r="AM20" i="5"/>
  <c r="V24" i="5"/>
  <c r="V29" i="5"/>
  <c r="AG46" i="5"/>
  <c r="AM46" i="5"/>
  <c r="V26" i="5"/>
  <c r="AM9" i="5"/>
  <c r="AG9" i="5"/>
  <c r="AM36" i="5"/>
  <c r="AG27" i="5"/>
  <c r="AM27" i="5"/>
  <c r="V41" i="5"/>
  <c r="AF18" i="5"/>
  <c r="AR18" i="5"/>
  <c r="AG20" i="5"/>
  <c r="AR26" i="5"/>
  <c r="AG29" i="5"/>
  <c r="AM29" i="5"/>
  <c r="V19" i="5"/>
  <c r="V51" i="5"/>
  <c r="V18" i="5"/>
  <c r="AM33" i="5"/>
  <c r="AG33" i="5"/>
  <c r="AG22" i="5"/>
  <c r="AM22" i="5"/>
  <c r="AG35" i="5"/>
  <c r="AM35" i="5"/>
  <c r="AG21" i="5"/>
  <c r="AM21" i="5"/>
  <c r="V6" i="5"/>
  <c r="AM47" i="5"/>
  <c r="AG47" i="5"/>
  <c r="V23" i="5"/>
  <c r="AM12" i="5"/>
  <c r="AL11" i="5"/>
  <c r="V9" i="5"/>
  <c r="V11" i="5"/>
  <c r="AM34" i="5"/>
  <c r="AG34" i="5"/>
  <c r="AG17" i="5"/>
  <c r="AM17" i="5"/>
  <c r="AL28" i="5"/>
  <c r="AG49" i="5"/>
  <c r="AM49" i="5"/>
  <c r="V17" i="5"/>
  <c r="V49" i="5"/>
  <c r="AF34" i="5"/>
  <c r="AR34" i="5"/>
  <c r="AF20" i="5"/>
  <c r="AR20" i="5"/>
  <c r="AG36" i="5"/>
  <c r="AM10" i="5"/>
  <c r="AG10" i="5"/>
  <c r="AM28" i="5"/>
  <c r="V10" i="5"/>
  <c r="AG41" i="5"/>
  <c r="AM41" i="5"/>
  <c r="V50" i="5"/>
  <c r="V36" i="5"/>
  <c r="AM44" i="5"/>
  <c r="V5" i="5"/>
  <c r="V37" i="5"/>
  <c r="V14" i="5"/>
  <c r="AG45" i="5"/>
  <c r="AM45" i="5"/>
  <c r="AM25" i="5"/>
  <c r="AG25" i="5"/>
  <c r="W48" i="5"/>
  <c r="AG16" i="5"/>
  <c r="V25" i="5"/>
  <c r="AM42" i="5"/>
  <c r="AG42" i="5"/>
  <c r="V42" i="5"/>
  <c r="V27" i="5"/>
  <c r="AG5" i="5"/>
  <c r="AM5" i="5"/>
  <c r="AL18" i="5"/>
  <c r="AG37" i="5"/>
  <c r="AG30" i="5"/>
  <c r="AM30" i="5"/>
  <c r="V30" i="5"/>
  <c r="V32" i="5"/>
  <c r="V31" i="5"/>
  <c r="AL26" i="5"/>
  <c r="AG19" i="5"/>
  <c r="AM19" i="5"/>
  <c r="V12" i="5"/>
  <c r="V44" i="5"/>
  <c r="AG48" i="5"/>
  <c r="V13" i="5"/>
  <c r="W45" i="5"/>
  <c r="V22" i="5"/>
  <c r="AM7" i="5"/>
  <c r="AG7" i="5"/>
  <c r="V8" i="5"/>
  <c r="AM18" i="5"/>
  <c r="AG18" i="5"/>
  <c r="V40" i="5"/>
  <c r="V33" i="5"/>
  <c r="AM50" i="5"/>
  <c r="AG50" i="5"/>
  <c r="AG51" i="5"/>
  <c r="AM51" i="5"/>
  <c r="V16" i="5"/>
  <c r="V35" i="5"/>
  <c r="AM32" i="5"/>
  <c r="AG32" i="5"/>
  <c r="AG6" i="5"/>
  <c r="AM6" i="5"/>
  <c r="AM38" i="5"/>
  <c r="AG38" i="5"/>
  <c r="V7" i="5"/>
  <c r="V39" i="5"/>
  <c r="AM13" i="5"/>
  <c r="AG13" i="5"/>
  <c r="AM26" i="5"/>
  <c r="AG26" i="5"/>
  <c r="AG43" i="5"/>
  <c r="AM43" i="5"/>
  <c r="V20" i="5"/>
  <c r="V38" i="5"/>
  <c r="AG40" i="5"/>
  <c r="V21" i="5"/>
  <c r="V46" i="5"/>
  <c r="AM31" i="5"/>
  <c r="AG31" i="5"/>
  <c r="AG11" i="5"/>
  <c r="AM11" i="5"/>
  <c r="AE45" i="5"/>
  <c r="AV45" i="5" s="1"/>
  <c r="AE31" i="5"/>
  <c r="AV31" i="5" s="1"/>
  <c r="AE48" i="5"/>
  <c r="AV48" i="5" s="1"/>
  <c r="AE33" i="5"/>
  <c r="AV33" i="5" s="1"/>
  <c r="AE37" i="5"/>
  <c r="AV37" i="5" s="1"/>
  <c r="AE39" i="5"/>
  <c r="AV39" i="5" s="1"/>
  <c r="AE41" i="5"/>
  <c r="AV41" i="5" s="1"/>
  <c r="AE25" i="5"/>
  <c r="AV25" i="5" s="1"/>
  <c r="AE14" i="5"/>
  <c r="AV14" i="5" s="1"/>
  <c r="AE47" i="5"/>
  <c r="AV47" i="5" s="1"/>
  <c r="AE49" i="5"/>
  <c r="AV49" i="5" s="1"/>
  <c r="AE40" i="5"/>
  <c r="AV40" i="5" s="1"/>
  <c r="AE43" i="5"/>
  <c r="AV43" i="5" s="1"/>
  <c r="AE8" i="5"/>
  <c r="AV8" i="5" s="1"/>
  <c r="AE51" i="5"/>
  <c r="AV51" i="5" s="1"/>
  <c r="AE22" i="5"/>
  <c r="AV22" i="5" s="1"/>
  <c r="AE16" i="5"/>
  <c r="AV16" i="5" s="1"/>
  <c r="AE23" i="5"/>
  <c r="AV23" i="5" s="1"/>
  <c r="AE35" i="5"/>
  <c r="AV35" i="5" s="1"/>
  <c r="AV6" i="5"/>
  <c r="AE5" i="5"/>
  <c r="AE13" i="5"/>
  <c r="AV13" i="5" s="1"/>
  <c r="AE38" i="5"/>
  <c r="AV38" i="5" s="1"/>
  <c r="AE24" i="5"/>
  <c r="AV24" i="5" s="1"/>
  <c r="AE9" i="5"/>
  <c r="AV9" i="5" s="1"/>
  <c r="AE27" i="5"/>
  <c r="AV27" i="5" s="1"/>
  <c r="AE30" i="5"/>
  <c r="AV30" i="5" s="1"/>
  <c r="AE21" i="5"/>
  <c r="AV21" i="5" s="1"/>
  <c r="AE7" i="5"/>
  <c r="AV7" i="5" s="1"/>
  <c r="AE19" i="5"/>
  <c r="AV19" i="5" s="1"/>
  <c r="AE29" i="5"/>
  <c r="AV29" i="5" s="1"/>
  <c r="AE46" i="5"/>
  <c r="AV46" i="5" s="1"/>
  <c r="AE15" i="5"/>
  <c r="AV15" i="5" s="1"/>
  <c r="AE32" i="5"/>
  <c r="AV32" i="5" s="1"/>
  <c r="AE17" i="5"/>
  <c r="AV17" i="5" s="1"/>
  <c r="AU45" i="29" l="1"/>
  <c r="U2" i="35" a="1"/>
  <c r="U2" i="35" s="1"/>
  <c r="DE47" i="30"/>
  <c r="BZ24" i="30"/>
  <c r="BZ21" i="30"/>
  <c r="EJ41" i="30"/>
  <c r="C6" i="17"/>
  <c r="EJ15" i="30"/>
  <c r="BZ33" i="30"/>
  <c r="C5" i="17" s="1"/>
  <c r="DE55" i="30"/>
  <c r="AU56" i="30"/>
  <c r="BZ48" i="30"/>
  <c r="DE38" i="30"/>
  <c r="BZ28" i="30"/>
  <c r="CN21" i="30"/>
  <c r="CV21" i="30" s="1"/>
  <c r="DG21" i="30"/>
  <c r="DA21" i="30"/>
  <c r="DC21" i="30" s="1"/>
  <c r="CC14" i="34"/>
  <c r="BZ10" i="34"/>
  <c r="C17" i="17"/>
  <c r="CA31" i="33"/>
  <c r="D18" i="17"/>
  <c r="CA7" i="33"/>
  <c r="AU22" i="33"/>
  <c r="CA22" i="33" s="1"/>
  <c r="AU50" i="33"/>
  <c r="CA50" i="33" s="1"/>
  <c r="AU32" i="33"/>
  <c r="CA32" i="33" s="1"/>
  <c r="AU8" i="33"/>
  <c r="CA8" i="33" s="1"/>
  <c r="AU21" i="33"/>
  <c r="CA21" i="33" s="1"/>
  <c r="AU13" i="33"/>
  <c r="CA13" i="33" s="1"/>
  <c r="AU18" i="33"/>
  <c r="CA18" i="33" s="1"/>
  <c r="AD45" i="34"/>
  <c r="AL45" i="34" s="1"/>
  <c r="AQ45" i="34"/>
  <c r="AS45" i="34" s="1"/>
  <c r="AU45" i="34" s="1"/>
  <c r="AW45" i="34"/>
  <c r="CE45" i="34" s="1"/>
  <c r="AD21" i="34"/>
  <c r="AL21" i="34" s="1"/>
  <c r="AQ21" i="34"/>
  <c r="AS21" i="34" s="1"/>
  <c r="AU21" i="34" s="1"/>
  <c r="AW21" i="34"/>
  <c r="CE21" i="34" s="1"/>
  <c r="BI36" i="30"/>
  <c r="CB36" i="30"/>
  <c r="BV36" i="30"/>
  <c r="BX36" i="30" s="1"/>
  <c r="E6" i="17"/>
  <c r="BI20" i="30"/>
  <c r="BV20" i="30"/>
  <c r="BX20" i="30" s="1"/>
  <c r="CB20" i="30"/>
  <c r="BI52" i="30"/>
  <c r="BQ52" i="30" s="1"/>
  <c r="BV52" i="30"/>
  <c r="BX52" i="30" s="1"/>
  <c r="BZ52" i="30" s="1"/>
  <c r="CB52" i="30"/>
  <c r="AU34" i="29"/>
  <c r="AU40" i="29"/>
  <c r="AU49" i="29"/>
  <c r="AU48" i="29"/>
  <c r="AU51" i="33"/>
  <c r="CA51" i="33" s="1"/>
  <c r="AU43" i="33"/>
  <c r="CA43" i="33" s="1"/>
  <c r="AU40" i="33"/>
  <c r="CA40" i="33" s="1"/>
  <c r="AU12" i="33"/>
  <c r="CA12" i="33" s="1"/>
  <c r="AU34" i="33"/>
  <c r="CA34" i="33" s="1"/>
  <c r="AU20" i="33"/>
  <c r="CA20" i="33" s="1"/>
  <c r="BI35" i="33"/>
  <c r="CC35" i="33"/>
  <c r="BV35" i="33"/>
  <c r="BX35" i="33" s="1"/>
  <c r="BV23" i="33"/>
  <c r="BX23" i="33" s="1"/>
  <c r="CC23" i="33"/>
  <c r="BI23" i="33"/>
  <c r="CC11" i="33"/>
  <c r="BV11" i="33"/>
  <c r="BX11" i="33" s="1"/>
  <c r="BI11" i="33"/>
  <c r="AU47" i="33"/>
  <c r="CA47" i="33" s="1"/>
  <c r="BI27" i="33"/>
  <c r="CC27" i="33"/>
  <c r="BV27" i="33"/>
  <c r="BX27" i="33" s="1"/>
  <c r="AU28" i="33"/>
  <c r="CA28" i="33" s="1"/>
  <c r="AU48" i="33"/>
  <c r="CA48" i="33" s="1"/>
  <c r="AU24" i="33"/>
  <c r="CA24" i="33" s="1"/>
  <c r="AU39" i="33"/>
  <c r="CA39" i="33" s="1"/>
  <c r="BV31" i="33"/>
  <c r="BX31" i="33" s="1"/>
  <c r="CC31" i="33"/>
  <c r="BI31" i="33"/>
  <c r="CC7" i="33"/>
  <c r="BI7" i="33"/>
  <c r="BV7" i="33"/>
  <c r="BX7" i="33" s="1"/>
  <c r="AU11" i="33"/>
  <c r="CA11" i="33" s="1"/>
  <c r="AU19" i="33"/>
  <c r="CA19" i="33" s="1"/>
  <c r="AU27" i="33"/>
  <c r="CA27" i="33" s="1"/>
  <c r="AU45" i="33"/>
  <c r="CA45" i="33" s="1"/>
  <c r="AU15" i="33"/>
  <c r="CA15" i="33" s="1"/>
  <c r="D17" i="17"/>
  <c r="CC17" i="34"/>
  <c r="CC10" i="34"/>
  <c r="CE43" i="34"/>
  <c r="CB46" i="34"/>
  <c r="CE46" i="34" s="1"/>
  <c r="BV46" i="34"/>
  <c r="BX46" i="34" s="1"/>
  <c r="BI46" i="34"/>
  <c r="BI31" i="34"/>
  <c r="BQ31" i="34" s="1"/>
  <c r="CB31" i="34"/>
  <c r="CE31" i="34" s="1"/>
  <c r="BV31" i="34"/>
  <c r="BX31" i="34" s="1"/>
  <c r="CB30" i="34"/>
  <c r="CE30" i="34" s="1"/>
  <c r="BI30" i="34"/>
  <c r="BV30" i="34"/>
  <c r="BX30" i="34" s="1"/>
  <c r="CB41" i="34"/>
  <c r="BI41" i="34"/>
  <c r="BQ41" i="34" s="1"/>
  <c r="BV41" i="34"/>
  <c r="BX41" i="34" s="1"/>
  <c r="CE41" i="34"/>
  <c r="AD29" i="34"/>
  <c r="AQ29" i="34"/>
  <c r="AS29" i="34" s="1"/>
  <c r="AW29" i="34"/>
  <c r="CB49" i="34"/>
  <c r="BI49" i="34"/>
  <c r="BQ49" i="34" s="1"/>
  <c r="BV49" i="34"/>
  <c r="BX49" i="34" s="1"/>
  <c r="BZ49" i="34" s="1"/>
  <c r="CC49" i="34" s="1"/>
  <c r="BZ31" i="34"/>
  <c r="CC31" i="34" s="1"/>
  <c r="BZ21" i="34"/>
  <c r="CC21" i="34" s="1"/>
  <c r="CE49" i="34"/>
  <c r="CE17" i="34"/>
  <c r="CC39" i="34"/>
  <c r="CD29" i="34"/>
  <c r="CB33" i="34"/>
  <c r="CE33" i="34" s="1"/>
  <c r="BI33" i="34"/>
  <c r="BV33" i="34"/>
  <c r="BX33" i="34" s="1"/>
  <c r="E11" i="17"/>
  <c r="CE5" i="34"/>
  <c r="CE6" i="34"/>
  <c r="CE29" i="34"/>
  <c r="CB9" i="34"/>
  <c r="CE9" i="34" s="1"/>
  <c r="BI9" i="34"/>
  <c r="BV9" i="34"/>
  <c r="BX9" i="34" s="1"/>
  <c r="DE17" i="30"/>
  <c r="DE41" i="30"/>
  <c r="D5" i="17"/>
  <c r="AU17" i="29"/>
  <c r="C7" i="17" s="1"/>
  <c r="AU41" i="29"/>
  <c r="C12" i="17" s="1"/>
  <c r="AU35" i="33"/>
  <c r="CA35" i="33" s="1"/>
  <c r="AU37" i="33"/>
  <c r="CA37" i="33" s="1"/>
  <c r="AU14" i="33"/>
  <c r="CA14" i="33" s="1"/>
  <c r="AU46" i="33"/>
  <c r="CA46" i="33" s="1"/>
  <c r="AU38" i="33"/>
  <c r="CA38" i="33" s="1"/>
  <c r="AU6" i="33"/>
  <c r="AU29" i="33"/>
  <c r="CA29" i="33" s="1"/>
  <c r="AU30" i="33"/>
  <c r="CA30" i="33" s="1"/>
  <c r="CE26" i="34"/>
  <c r="CE10" i="34"/>
  <c r="CE35" i="34"/>
  <c r="BI19" i="30"/>
  <c r="BV19" i="30"/>
  <c r="BX19" i="30" s="1"/>
  <c r="CB19" i="30"/>
  <c r="BI42" i="30"/>
  <c r="CB42" i="30"/>
  <c r="BV42" i="30"/>
  <c r="BX42" i="30" s="1"/>
  <c r="CN52" i="30"/>
  <c r="CV52" i="30" s="1"/>
  <c r="DA52" i="30"/>
  <c r="DC52" i="30" s="1"/>
  <c r="DE52" i="30" s="1"/>
  <c r="DG52" i="30"/>
  <c r="DS28" i="30"/>
  <c r="EA28" i="30" s="1"/>
  <c r="EF28" i="30"/>
  <c r="EH28" i="30" s="1"/>
  <c r="EL28" i="30"/>
  <c r="BI58" i="30"/>
  <c r="BV58" i="30"/>
  <c r="BX58" i="30" s="1"/>
  <c r="CB58" i="30"/>
  <c r="DG44" i="30"/>
  <c r="DA44" i="30"/>
  <c r="DC44" i="30" s="1"/>
  <c r="CN44" i="30"/>
  <c r="BI34" i="30"/>
  <c r="CB34" i="30"/>
  <c r="BV34" i="30"/>
  <c r="BX34" i="30" s="1"/>
  <c r="BI43" i="30"/>
  <c r="BQ43" i="30" s="1"/>
  <c r="BV43" i="30"/>
  <c r="BX43" i="30" s="1"/>
  <c r="BZ43" i="30" s="1"/>
  <c r="CB43" i="30"/>
  <c r="DS20" i="30"/>
  <c r="EF20" i="30"/>
  <c r="EH20" i="30" s="1"/>
  <c r="EL20" i="30"/>
  <c r="BV35" i="30"/>
  <c r="BX35" i="30" s="1"/>
  <c r="BI35" i="30"/>
  <c r="CB35" i="30"/>
  <c r="DS58" i="30"/>
  <c r="EF58" i="30"/>
  <c r="EH58" i="30" s="1"/>
  <c r="EL58" i="30"/>
  <c r="DS26" i="30"/>
  <c r="EF26" i="30"/>
  <c r="EH26" i="30" s="1"/>
  <c r="EL26" i="30"/>
  <c r="DS34" i="30"/>
  <c r="EL34" i="30"/>
  <c r="EF34" i="30"/>
  <c r="EH34" i="30" s="1"/>
  <c r="BI51" i="30"/>
  <c r="BV51" i="30"/>
  <c r="BX51" i="30" s="1"/>
  <c r="CB51" i="30"/>
  <c r="BI26" i="30"/>
  <c r="BV26" i="30"/>
  <c r="BX26" i="30" s="1"/>
  <c r="CB26" i="30"/>
  <c r="DS18" i="30"/>
  <c r="EF18" i="30"/>
  <c r="EH18" i="30" s="1"/>
  <c r="EL18" i="30"/>
  <c r="DS42" i="30"/>
  <c r="EF42" i="30"/>
  <c r="EH42" i="30" s="1"/>
  <c r="EL42" i="30"/>
  <c r="BI27" i="30"/>
  <c r="BV27" i="30"/>
  <c r="BX27" i="30" s="1"/>
  <c r="CB27" i="30"/>
  <c r="BI50" i="30"/>
  <c r="BV50" i="30"/>
  <c r="BX50" i="30" s="1"/>
  <c r="CB50" i="30"/>
  <c r="DS50" i="30"/>
  <c r="EF50" i="30"/>
  <c r="EH50" i="30" s="1"/>
  <c r="EL50" i="30"/>
  <c r="DS36" i="30"/>
  <c r="EF36" i="30"/>
  <c r="EH36" i="30" s="1"/>
  <c r="EL36" i="30"/>
  <c r="DS52" i="30"/>
  <c r="EA52" i="30" s="1"/>
  <c r="EF52" i="30"/>
  <c r="EH52" i="30" s="1"/>
  <c r="EJ52" i="30" s="1"/>
  <c r="EL52" i="30"/>
  <c r="DS44" i="30"/>
  <c r="EF44" i="30"/>
  <c r="EH44" i="30" s="1"/>
  <c r="EL44" i="30"/>
  <c r="BI59" i="30"/>
  <c r="BV59" i="30"/>
  <c r="BX59" i="30" s="1"/>
  <c r="CB59" i="30"/>
  <c r="BV18" i="30"/>
  <c r="BX18" i="30" s="1"/>
  <c r="CB18" i="30"/>
  <c r="BI18" i="30"/>
  <c r="E7" i="17"/>
  <c r="E12" i="17"/>
  <c r="CB12" i="30"/>
  <c r="BI12" i="30"/>
  <c r="AV5" i="5"/>
  <c r="AR5" i="5"/>
  <c r="AQ12" i="30"/>
  <c r="AS12" i="30" s="1"/>
  <c r="AD12" i="30"/>
  <c r="AF26" i="5"/>
  <c r="AW26" i="5" s="1"/>
  <c r="AR10" i="5"/>
  <c r="AR44" i="5"/>
  <c r="AF10" i="5"/>
  <c r="AD10" i="5" s="1"/>
  <c r="AF44" i="5"/>
  <c r="AW44" i="5" s="1"/>
  <c r="AF28" i="5"/>
  <c r="AD28" i="5" s="1"/>
  <c r="AR28" i="5"/>
  <c r="AR36" i="5"/>
  <c r="AF36" i="5"/>
  <c r="AD36" i="5" s="1"/>
  <c r="AR50" i="5"/>
  <c r="AF42" i="5"/>
  <c r="AW42" i="5" s="1"/>
  <c r="AF50" i="5"/>
  <c r="AQ50" i="5" s="1"/>
  <c r="AF11" i="5"/>
  <c r="AD11" i="5" s="1"/>
  <c r="AR42" i="5"/>
  <c r="AR11" i="5"/>
  <c r="AD20" i="5"/>
  <c r="AW20" i="5"/>
  <c r="AR12" i="5"/>
  <c r="AV12" i="5"/>
  <c r="AD34" i="5"/>
  <c r="AW34" i="5"/>
  <c r="AW12" i="5"/>
  <c r="AD12" i="5"/>
  <c r="AD18" i="5"/>
  <c r="AW18" i="5"/>
  <c r="AF30" i="5"/>
  <c r="AR30" i="5"/>
  <c r="AL47" i="5"/>
  <c r="AQ12" i="5"/>
  <c r="W11" i="5"/>
  <c r="AQ18" i="5"/>
  <c r="W24" i="5"/>
  <c r="W34" i="5"/>
  <c r="AF17" i="5"/>
  <c r="AR17" i="5"/>
  <c r="AF41" i="5"/>
  <c r="AR41" i="5"/>
  <c r="W49" i="5"/>
  <c r="AF13" i="5"/>
  <c r="AR13" i="5"/>
  <c r="AL36" i="5"/>
  <c r="AF32" i="5"/>
  <c r="AR32" i="5"/>
  <c r="AL19" i="5"/>
  <c r="AL27" i="5"/>
  <c r="AL13" i="5"/>
  <c r="AF23" i="5"/>
  <c r="AR23" i="5"/>
  <c r="AF8" i="5"/>
  <c r="AR8" i="5"/>
  <c r="AF47" i="5"/>
  <c r="AR47" i="5"/>
  <c r="AF39" i="5"/>
  <c r="AR39" i="5"/>
  <c r="AF31" i="5"/>
  <c r="AR31" i="5"/>
  <c r="W21" i="5"/>
  <c r="W20" i="5"/>
  <c r="W40" i="5"/>
  <c r="W8" i="5"/>
  <c r="W10" i="5"/>
  <c r="W17" i="5"/>
  <c r="W9" i="5"/>
  <c r="W26" i="5"/>
  <c r="W15" i="5"/>
  <c r="AL51" i="5"/>
  <c r="W46" i="5"/>
  <c r="AF19" i="5"/>
  <c r="AR19" i="5"/>
  <c r="AL31" i="5"/>
  <c r="W7" i="5"/>
  <c r="AL15" i="5"/>
  <c r="AL7" i="5"/>
  <c r="AL9" i="5"/>
  <c r="AF5" i="5"/>
  <c r="AQ5" i="5" s="1"/>
  <c r="AL16" i="5"/>
  <c r="AF43" i="5"/>
  <c r="AR43" i="5"/>
  <c r="AL14" i="5"/>
  <c r="AF37" i="5"/>
  <c r="AR37" i="5"/>
  <c r="AF45" i="5"/>
  <c r="AR45" i="5"/>
  <c r="W30" i="5"/>
  <c r="X48" i="5"/>
  <c r="W14" i="5"/>
  <c r="W36" i="5"/>
  <c r="AQ20" i="5"/>
  <c r="W18" i="5"/>
  <c r="W41" i="5"/>
  <c r="AL44" i="5"/>
  <c r="AF49" i="5"/>
  <c r="AR49" i="5"/>
  <c r="AL32" i="5"/>
  <c r="AL39" i="5"/>
  <c r="AF9" i="5"/>
  <c r="AR9" i="5"/>
  <c r="AF16" i="5"/>
  <c r="AR16" i="5"/>
  <c r="AL43" i="5"/>
  <c r="AF14" i="5"/>
  <c r="AR14" i="5"/>
  <c r="AL37" i="5"/>
  <c r="AL45" i="5"/>
  <c r="AL10" i="5"/>
  <c r="W44" i="5"/>
  <c r="AL35" i="5"/>
  <c r="W38" i="5"/>
  <c r="W23" i="5"/>
  <c r="AL23" i="5"/>
  <c r="W13" i="5"/>
  <c r="AF15" i="5"/>
  <c r="AR15" i="5"/>
  <c r="AL46" i="5"/>
  <c r="AF21" i="5"/>
  <c r="AR21" i="5"/>
  <c r="AL24" i="5"/>
  <c r="AL6" i="5"/>
  <c r="AL22" i="5"/>
  <c r="AL40" i="5"/>
  <c r="AL25" i="5"/>
  <c r="AF33" i="5"/>
  <c r="AR33" i="5"/>
  <c r="W22" i="5"/>
  <c r="W27" i="5"/>
  <c r="W25" i="5"/>
  <c r="W37" i="5"/>
  <c r="W50" i="5"/>
  <c r="W6" i="5"/>
  <c r="W51" i="5"/>
  <c r="W28" i="5"/>
  <c r="AF38" i="5"/>
  <c r="AR38" i="5"/>
  <c r="W16" i="5"/>
  <c r="AF27" i="5"/>
  <c r="AR27" i="5"/>
  <c r="AF46" i="5"/>
  <c r="AR46" i="5"/>
  <c r="AL21" i="5"/>
  <c r="AF24" i="5"/>
  <c r="AR24" i="5"/>
  <c r="AR6" i="5"/>
  <c r="AF22" i="5"/>
  <c r="AR22" i="5"/>
  <c r="AF40" i="5"/>
  <c r="AR40" i="5"/>
  <c r="AF25" i="5"/>
  <c r="AR25" i="5"/>
  <c r="AL33" i="5"/>
  <c r="W35" i="5"/>
  <c r="W12" i="5"/>
  <c r="AQ34" i="5"/>
  <c r="AL29" i="5"/>
  <c r="AF48" i="5"/>
  <c r="AR48" i="5"/>
  <c r="W33" i="5"/>
  <c r="W47" i="5"/>
  <c r="AL8" i="5"/>
  <c r="W32" i="5"/>
  <c r="AF7" i="5"/>
  <c r="AR7" i="5"/>
  <c r="AL17" i="5"/>
  <c r="AF29" i="5"/>
  <c r="AR29" i="5"/>
  <c r="AL30" i="5"/>
  <c r="AL38" i="5"/>
  <c r="AF35" i="5"/>
  <c r="AR35" i="5"/>
  <c r="AF51" i="5"/>
  <c r="AR51" i="5"/>
  <c r="AL49" i="5"/>
  <c r="AL41" i="5"/>
  <c r="AL48" i="5"/>
  <c r="W39" i="5"/>
  <c r="X45" i="5"/>
  <c r="W31" i="5"/>
  <c r="W42" i="5"/>
  <c r="W5" i="5"/>
  <c r="W19" i="5"/>
  <c r="W29" i="5"/>
  <c r="W43" i="5"/>
  <c r="E4" i="17" l="1"/>
  <c r="V2" i="35" a="1"/>
  <c r="V2" i="35" s="1"/>
  <c r="DE21" i="30"/>
  <c r="C4" i="17" s="1"/>
  <c r="EJ28" i="30"/>
  <c r="X2" i="35" a="1"/>
  <c r="X2" i="35" s="1"/>
  <c r="C11" i="17"/>
  <c r="H10" i="17" s="1"/>
  <c r="I10" i="17" s="1"/>
  <c r="CC45" i="34"/>
  <c r="BZ41" i="34"/>
  <c r="CC41" i="34" s="1"/>
  <c r="CA6" i="33"/>
  <c r="AB2" i="35" s="1" a="1"/>
  <c r="AB2" i="35" s="1"/>
  <c r="C16" i="17"/>
  <c r="Z2" i="35" a="1"/>
  <c r="Z2" i="35" s="1"/>
  <c r="Y2" i="35" a="1"/>
  <c r="Y2" i="35" s="1"/>
  <c r="T2" i="35" a="1"/>
  <c r="T2" i="35" s="1"/>
  <c r="C18" i="17"/>
  <c r="D28" i="17" s="1"/>
  <c r="H7" i="17"/>
  <c r="I7" i="17" s="1"/>
  <c r="H6" i="17"/>
  <c r="I6" i="17" s="1"/>
  <c r="E5" i="17"/>
  <c r="AW10" i="5"/>
  <c r="AQ10" i="5"/>
  <c r="AW28" i="5"/>
  <c r="AQ26" i="5"/>
  <c r="AQ28" i="5"/>
  <c r="AD26" i="5"/>
  <c r="AQ42" i="5"/>
  <c r="AD44" i="5"/>
  <c r="AD42" i="5"/>
  <c r="AD50" i="5"/>
  <c r="AW11" i="5"/>
  <c r="AW50" i="5"/>
  <c r="AQ44" i="5"/>
  <c r="AQ36" i="5"/>
  <c r="AW36" i="5"/>
  <c r="AQ11" i="5"/>
  <c r="AW9" i="5"/>
  <c r="AD9" i="5"/>
  <c r="AD43" i="5"/>
  <c r="AW43" i="5"/>
  <c r="AW30" i="5"/>
  <c r="AD30" i="5"/>
  <c r="AW22" i="5"/>
  <c r="AD22" i="5"/>
  <c r="AW15" i="5"/>
  <c r="AD15" i="5"/>
  <c r="AD49" i="5"/>
  <c r="AW49" i="5"/>
  <c r="AW8" i="5"/>
  <c r="AD8" i="5"/>
  <c r="AW45" i="5"/>
  <c r="AD45" i="5"/>
  <c r="AW7" i="5"/>
  <c r="AD7" i="5"/>
  <c r="AD19" i="5"/>
  <c r="AW19" i="5"/>
  <c r="AW13" i="5"/>
  <c r="AD13" i="5"/>
  <c r="AD31" i="5"/>
  <c r="AW31" i="5"/>
  <c r="AD51" i="5"/>
  <c r="AW51" i="5"/>
  <c r="AD25" i="5"/>
  <c r="AW25" i="5"/>
  <c r="AW16" i="5"/>
  <c r="AD16" i="5"/>
  <c r="AW37" i="5"/>
  <c r="AD37" i="5"/>
  <c r="AD39" i="5"/>
  <c r="AW39" i="5"/>
  <c r="AD41" i="5"/>
  <c r="AW41" i="5"/>
  <c r="AD27" i="5"/>
  <c r="AW27" i="5"/>
  <c r="AW6" i="5"/>
  <c r="AD6" i="5"/>
  <c r="AW46" i="5"/>
  <c r="AD46" i="5"/>
  <c r="AW21" i="5"/>
  <c r="AD21" i="5"/>
  <c r="AD23" i="5"/>
  <c r="AW23" i="5"/>
  <c r="AW29" i="5"/>
  <c r="AD29" i="5"/>
  <c r="AD48" i="5"/>
  <c r="AW48" i="5"/>
  <c r="AW5" i="5"/>
  <c r="AD5" i="5"/>
  <c r="AD32" i="5"/>
  <c r="AW32" i="5"/>
  <c r="AD35" i="5"/>
  <c r="AW35" i="5"/>
  <c r="AD40" i="5"/>
  <c r="AW40" i="5"/>
  <c r="AW38" i="5"/>
  <c r="AD38" i="5"/>
  <c r="AW14" i="5"/>
  <c r="AD14" i="5"/>
  <c r="AD47" i="5"/>
  <c r="AW47" i="5"/>
  <c r="AW17" i="5"/>
  <c r="AD17" i="5"/>
  <c r="AD24" i="5"/>
  <c r="AW24" i="5"/>
  <c r="AD33" i="5"/>
  <c r="AW33" i="5"/>
  <c r="X25" i="5"/>
  <c r="X12" i="5"/>
  <c r="AQ46" i="5"/>
  <c r="X41" i="5"/>
  <c r="AQ37" i="5"/>
  <c r="AQ47" i="5"/>
  <c r="X49" i="5"/>
  <c r="AQ21" i="5"/>
  <c r="AN48" i="5"/>
  <c r="X9" i="5"/>
  <c r="X21" i="5"/>
  <c r="X31" i="5"/>
  <c r="X33" i="5"/>
  <c r="X16" i="5"/>
  <c r="X50" i="5"/>
  <c r="X27" i="5"/>
  <c r="AQ14" i="5"/>
  <c r="X8" i="5"/>
  <c r="AQ17" i="5"/>
  <c r="X11" i="5"/>
  <c r="X39" i="5"/>
  <c r="AQ7" i="5"/>
  <c r="AQ51" i="5"/>
  <c r="X35" i="5"/>
  <c r="AQ40" i="5"/>
  <c r="AQ33" i="5"/>
  <c r="X23" i="5"/>
  <c r="X18" i="5"/>
  <c r="X7" i="5"/>
  <c r="AQ31" i="5"/>
  <c r="AQ32" i="5"/>
  <c r="AQ24" i="5"/>
  <c r="X51" i="5"/>
  <c r="X37" i="5"/>
  <c r="X22" i="5"/>
  <c r="AQ9" i="5"/>
  <c r="X36" i="5"/>
  <c r="X46" i="5"/>
  <c r="X26" i="5"/>
  <c r="X17" i="5"/>
  <c r="X40" i="5"/>
  <c r="AQ8" i="5"/>
  <c r="X47" i="5"/>
  <c r="X15" i="5"/>
  <c r="X43" i="5"/>
  <c r="X32" i="5"/>
  <c r="AN45" i="5"/>
  <c r="AQ29" i="5"/>
  <c r="AQ48" i="5"/>
  <c r="AQ38" i="5"/>
  <c r="AQ15" i="5"/>
  <c r="X38" i="5"/>
  <c r="X30" i="5"/>
  <c r="AQ13" i="5"/>
  <c r="AQ19" i="5"/>
  <c r="X24" i="5"/>
  <c r="X19" i="5"/>
  <c r="X5" i="5"/>
  <c r="X29" i="5"/>
  <c r="AQ35" i="5"/>
  <c r="AQ22" i="5"/>
  <c r="AQ27" i="5"/>
  <c r="X6" i="5"/>
  <c r="X14" i="5"/>
  <c r="AQ45" i="5"/>
  <c r="AQ43" i="5"/>
  <c r="X10" i="5"/>
  <c r="X20" i="5"/>
  <c r="AQ39" i="5"/>
  <c r="X34" i="5"/>
  <c r="X42" i="5"/>
  <c r="AQ25" i="5"/>
  <c r="X28" i="5"/>
  <c r="X13" i="5"/>
  <c r="X44" i="5"/>
  <c r="AQ16" i="5"/>
  <c r="AQ49" i="5"/>
  <c r="AQ23" i="5"/>
  <c r="AQ41" i="5"/>
  <c r="AQ30" i="5"/>
  <c r="AE48" i="35" l="1"/>
  <c r="AD13" i="35"/>
  <c r="AD49" i="35"/>
  <c r="AE24" i="35"/>
  <c r="AE21" i="35"/>
  <c r="AD12" i="35"/>
  <c r="AE33" i="35"/>
  <c r="AF6" i="35"/>
  <c r="AE11" i="35"/>
  <c r="AD39" i="35"/>
  <c r="AD25" i="35"/>
  <c r="AE17" i="35"/>
  <c r="AD22" i="35"/>
  <c r="AD18" i="35"/>
  <c r="AD33" i="35"/>
  <c r="AE7" i="35"/>
  <c r="AE9" i="35"/>
  <c r="AE22" i="35"/>
  <c r="H11" i="17"/>
  <c r="I11" i="17" s="1"/>
  <c r="AD19" i="35"/>
  <c r="AD16" i="35"/>
  <c r="AE6" i="35"/>
  <c r="D26" i="17" a="1"/>
  <c r="D26" i="17" s="1"/>
  <c r="H5" i="17"/>
  <c r="I5" i="17" s="1"/>
  <c r="AD20" i="35"/>
  <c r="W2" i="35" a="1"/>
  <c r="AC14" i="35" s="1"/>
  <c r="AD37" i="35"/>
  <c r="D27" i="17"/>
  <c r="AF8" i="35"/>
  <c r="AF30" i="35"/>
  <c r="AD17" i="35"/>
  <c r="AF49" i="35"/>
  <c r="AE8" i="35"/>
  <c r="AD23" i="35"/>
  <c r="AC38" i="35"/>
  <c r="AF46" i="35"/>
  <c r="AE5" i="35"/>
  <c r="AE20" i="35"/>
  <c r="AF3" i="35"/>
  <c r="AD9" i="35"/>
  <c r="AF32" i="35"/>
  <c r="AC8" i="35"/>
  <c r="AF48" i="35"/>
  <c r="AD15" i="35"/>
  <c r="AF5" i="35"/>
  <c r="AF45" i="35"/>
  <c r="AE4" i="35"/>
  <c r="AC17" i="35"/>
  <c r="AE49" i="35"/>
  <c r="AF24" i="35"/>
  <c r="AD40" i="35"/>
  <c r="AF31" i="35"/>
  <c r="AE47" i="35"/>
  <c r="AF4" i="35"/>
  <c r="AF44" i="35"/>
  <c r="AE41" i="35"/>
  <c r="AF16" i="35"/>
  <c r="AD24" i="35"/>
  <c r="AF7" i="35"/>
  <c r="AE23" i="35"/>
  <c r="AD38" i="35"/>
  <c r="AD26" i="35"/>
  <c r="AD41" i="35"/>
  <c r="AE25" i="35"/>
  <c r="AC40" i="35"/>
  <c r="AD8" i="35"/>
  <c r="AF47" i="35"/>
  <c r="AD14" i="35"/>
  <c r="AD21" i="35"/>
  <c r="AD36" i="35"/>
  <c r="AD27" i="35"/>
  <c r="AE10" i="35"/>
  <c r="AF50" i="35"/>
  <c r="AF40" i="35"/>
  <c r="AF39" i="35"/>
  <c r="AD7" i="35"/>
  <c r="AF38" i="35"/>
  <c r="AC22" i="35"/>
  <c r="AD6" i="35"/>
  <c r="AF37" i="35"/>
  <c r="AC21" i="35"/>
  <c r="AD5" i="35"/>
  <c r="AF36" i="35"/>
  <c r="AC20" i="35"/>
  <c r="AD4" i="35"/>
  <c r="AF35" i="35"/>
  <c r="AC27" i="35"/>
  <c r="AD11" i="35"/>
  <c r="AF43" i="35"/>
  <c r="AD10" i="35"/>
  <c r="AF42" i="35"/>
  <c r="AE46" i="35"/>
  <c r="AF29" i="35"/>
  <c r="AC13" i="35"/>
  <c r="AE45" i="35"/>
  <c r="AF28" i="35"/>
  <c r="AE44" i="35"/>
  <c r="AF27" i="35"/>
  <c r="AE3" i="35"/>
  <c r="AF34" i="35"/>
  <c r="AC18" i="35"/>
  <c r="AE50" i="35"/>
  <c r="AF33" i="35"/>
  <c r="AE40" i="35"/>
  <c r="AF23" i="35"/>
  <c r="AE39" i="35"/>
  <c r="AF22" i="35"/>
  <c r="AC6" i="35"/>
  <c r="AE38" i="35"/>
  <c r="AF21" i="35"/>
  <c r="AE37" i="35"/>
  <c r="AF20" i="35"/>
  <c r="AC4" i="35"/>
  <c r="AE36" i="35"/>
  <c r="AF19" i="35"/>
  <c r="AC11" i="35"/>
  <c r="AE43" i="35"/>
  <c r="AF26" i="35"/>
  <c r="AC10" i="35"/>
  <c r="AE42" i="35"/>
  <c r="AF25" i="35"/>
  <c r="AD48" i="35"/>
  <c r="AE32" i="35"/>
  <c r="AF15" i="35"/>
  <c r="AD47" i="35"/>
  <c r="AE31" i="35"/>
  <c r="AF14" i="35"/>
  <c r="AD46" i="35"/>
  <c r="AE30" i="35"/>
  <c r="AF13" i="35"/>
  <c r="AD45" i="35"/>
  <c r="AE29" i="35"/>
  <c r="AF12" i="35"/>
  <c r="AD44" i="35"/>
  <c r="AE28" i="35"/>
  <c r="AF11" i="35"/>
  <c r="AD3" i="35"/>
  <c r="AE35" i="35"/>
  <c r="AF18" i="35"/>
  <c r="AD50" i="35"/>
  <c r="AE34" i="35"/>
  <c r="AF17" i="35"/>
  <c r="AF41" i="35"/>
  <c r="AD43" i="35"/>
  <c r="AE27" i="35"/>
  <c r="AF10" i="35"/>
  <c r="AD42" i="35"/>
  <c r="AE26" i="35"/>
  <c r="AF9" i="35"/>
  <c r="AD32" i="35"/>
  <c r="AE16" i="35"/>
  <c r="AC47" i="35"/>
  <c r="AD31" i="35"/>
  <c r="AE15" i="35"/>
  <c r="AC46" i="35"/>
  <c r="AD30" i="35"/>
  <c r="AE14" i="35"/>
  <c r="AC45" i="35"/>
  <c r="AD29" i="35"/>
  <c r="AE13" i="35"/>
  <c r="AC44" i="35"/>
  <c r="AD28" i="35"/>
  <c r="AE12" i="35"/>
  <c r="AD35" i="35"/>
  <c r="AE19" i="35"/>
  <c r="AD34" i="35"/>
  <c r="AE18" i="35"/>
  <c r="AN29" i="5"/>
  <c r="AN38" i="5"/>
  <c r="AN46" i="5"/>
  <c r="AN44" i="5"/>
  <c r="AN43" i="5"/>
  <c r="AN37" i="5"/>
  <c r="AN27" i="5"/>
  <c r="AN31" i="5"/>
  <c r="AN42" i="5"/>
  <c r="AN5" i="5"/>
  <c r="AN40" i="5"/>
  <c r="AN36" i="5"/>
  <c r="AN11" i="5"/>
  <c r="AN20" i="5"/>
  <c r="AN10" i="5"/>
  <c r="AN15" i="5"/>
  <c r="AN51" i="5"/>
  <c r="AN18" i="5"/>
  <c r="AN50" i="5"/>
  <c r="AN21" i="5"/>
  <c r="AN13" i="5"/>
  <c r="AN14" i="5"/>
  <c r="AN34" i="5"/>
  <c r="AN19" i="5"/>
  <c r="AN17" i="5"/>
  <c r="AN8" i="5"/>
  <c r="AN49" i="5"/>
  <c r="AN41" i="5"/>
  <c r="AN12" i="5"/>
  <c r="AN22" i="5"/>
  <c r="AN33" i="5"/>
  <c r="AN28" i="5"/>
  <c r="AN6" i="5"/>
  <c r="AO45" i="5"/>
  <c r="AN47" i="5"/>
  <c r="AN23" i="5"/>
  <c r="AN35" i="5"/>
  <c r="AN39" i="5"/>
  <c r="AN16" i="5"/>
  <c r="AN9" i="5"/>
  <c r="AN32" i="5"/>
  <c r="AN24" i="5"/>
  <c r="AN30" i="5"/>
  <c r="AN26" i="5"/>
  <c r="AN7" i="5"/>
  <c r="AO48" i="5"/>
  <c r="AN25" i="5"/>
  <c r="AC37" i="35" l="1"/>
  <c r="AC42" i="35"/>
  <c r="AC50" i="35"/>
  <c r="AC7" i="35"/>
  <c r="AC19" i="35"/>
  <c r="W2" i="35"/>
  <c r="AC39" i="35"/>
  <c r="AC35" i="35"/>
  <c r="AC15" i="35"/>
  <c r="AC24" i="35"/>
  <c r="AC41" i="35"/>
  <c r="AC28" i="35"/>
  <c r="AC32" i="35"/>
  <c r="AC49" i="35"/>
  <c r="AC25" i="35"/>
  <c r="AC48" i="35"/>
  <c r="AC5" i="35"/>
  <c r="AC23" i="35"/>
  <c r="AC43" i="35"/>
  <c r="AC16" i="35"/>
  <c r="AC3" i="35"/>
  <c r="AC12" i="35"/>
  <c r="AC26" i="35"/>
  <c r="AC36" i="35"/>
  <c r="AC9" i="35"/>
  <c r="AC30" i="35"/>
  <c r="AC31" i="35"/>
  <c r="AC29" i="35"/>
  <c r="AC34" i="35"/>
  <c r="AC33" i="35"/>
  <c r="AO32" i="5"/>
  <c r="AO6" i="5"/>
  <c r="AO28" i="5"/>
  <c r="AO41" i="5"/>
  <c r="AO19" i="5"/>
  <c r="AO21" i="5"/>
  <c r="AO15" i="5"/>
  <c r="AO36" i="5"/>
  <c r="AO31" i="5"/>
  <c r="AO44" i="5"/>
  <c r="AO12" i="5"/>
  <c r="AO26" i="5"/>
  <c r="AO30" i="5"/>
  <c r="AO33" i="5"/>
  <c r="AO50" i="5"/>
  <c r="AO10" i="5"/>
  <c r="AO27" i="5"/>
  <c r="AO46" i="5"/>
  <c r="AO35" i="5"/>
  <c r="AO9" i="5"/>
  <c r="AO16" i="5"/>
  <c r="AO34" i="5"/>
  <c r="AO39" i="5"/>
  <c r="AO22" i="5"/>
  <c r="AO8" i="5"/>
  <c r="AO14" i="5"/>
  <c r="AO18" i="5"/>
  <c r="AO20" i="5"/>
  <c r="AO5" i="5"/>
  <c r="AO37" i="5"/>
  <c r="AO38" i="5"/>
  <c r="AO7" i="5"/>
  <c r="AO17" i="5"/>
  <c r="AO23" i="5"/>
  <c r="AO25" i="5"/>
  <c r="AO47" i="5"/>
  <c r="AO49" i="5"/>
  <c r="AO40" i="5"/>
  <c r="AO24" i="5"/>
  <c r="AP45" i="5"/>
  <c r="AP48" i="5"/>
  <c r="AO13" i="5"/>
  <c r="AO51" i="5"/>
  <c r="AO11" i="5"/>
  <c r="AO42" i="5"/>
  <c r="AO43" i="5"/>
  <c r="AO29" i="5"/>
  <c r="AP17" i="5" l="1"/>
  <c r="AP8" i="5"/>
  <c r="AP27" i="5"/>
  <c r="AP30" i="5"/>
  <c r="AP32" i="5"/>
  <c r="AP11" i="5"/>
  <c r="AT45" i="5"/>
  <c r="AS45" i="5"/>
  <c r="AP7" i="5"/>
  <c r="AP20" i="5"/>
  <c r="AP22" i="5"/>
  <c r="AP9" i="5"/>
  <c r="AP10" i="5"/>
  <c r="AP26" i="5"/>
  <c r="AP36" i="5"/>
  <c r="AP41" i="5"/>
  <c r="AP47" i="5"/>
  <c r="AP42" i="5"/>
  <c r="AP19" i="5"/>
  <c r="AP39" i="5"/>
  <c r="AP5" i="5"/>
  <c r="AS5" i="5" s="1"/>
  <c r="AP51" i="5"/>
  <c r="AP25" i="5"/>
  <c r="AP18" i="5"/>
  <c r="AP50" i="5"/>
  <c r="AP15" i="5"/>
  <c r="AP23" i="5"/>
  <c r="AP44" i="5"/>
  <c r="AP21" i="5"/>
  <c r="AP6" i="5"/>
  <c r="AP49" i="5"/>
  <c r="AP16" i="5"/>
  <c r="AP31" i="5"/>
  <c r="AS48" i="5"/>
  <c r="AT48" i="5"/>
  <c r="AP29" i="5"/>
  <c r="AP24" i="5"/>
  <c r="AP38" i="5"/>
  <c r="AP35" i="5"/>
  <c r="AP12" i="5"/>
  <c r="AP28" i="5"/>
  <c r="AP43" i="5"/>
  <c r="AP13" i="5"/>
  <c r="AP40" i="5"/>
  <c r="AP37" i="5"/>
  <c r="AP14" i="5"/>
  <c r="AP34" i="5"/>
  <c r="AP33" i="5"/>
  <c r="AP46" i="5"/>
  <c r="AT44" i="5" l="1"/>
  <c r="AS44" i="5"/>
  <c r="AT46" i="5"/>
  <c r="AS46" i="5"/>
  <c r="AS37" i="5"/>
  <c r="AT37" i="5"/>
  <c r="AS28" i="5"/>
  <c r="AT28" i="5"/>
  <c r="AS24" i="5"/>
  <c r="AT24" i="5"/>
  <c r="AT30" i="5"/>
  <c r="AS30" i="5"/>
  <c r="AS16" i="5"/>
  <c r="AT16" i="5"/>
  <c r="AS18" i="5"/>
  <c r="AT18" i="5"/>
  <c r="AS39" i="5"/>
  <c r="AT39" i="5"/>
  <c r="AT41" i="5"/>
  <c r="AS41" i="5"/>
  <c r="AT9" i="5"/>
  <c r="AS9" i="5"/>
  <c r="AT29" i="5"/>
  <c r="AS29" i="5"/>
  <c r="AT49" i="5"/>
  <c r="AS49" i="5"/>
  <c r="AT22" i="5"/>
  <c r="AS22" i="5"/>
  <c r="AU48" i="5"/>
  <c r="AS11" i="5"/>
  <c r="AT11" i="5"/>
  <c r="AS8" i="5"/>
  <c r="AT8" i="5"/>
  <c r="AS40" i="5"/>
  <c r="AT40" i="5"/>
  <c r="AS23" i="5"/>
  <c r="AT23" i="5"/>
  <c r="AS36" i="5"/>
  <c r="AT36" i="5"/>
  <c r="AU45" i="5"/>
  <c r="AS34" i="5"/>
  <c r="AT34" i="5"/>
  <c r="AS13" i="5"/>
  <c r="AT13" i="5"/>
  <c r="AS35" i="5"/>
  <c r="AT35" i="5"/>
  <c r="AT6" i="5"/>
  <c r="AS6" i="5"/>
  <c r="AS15" i="5"/>
  <c r="AT15" i="5"/>
  <c r="AS42" i="5"/>
  <c r="AT42" i="5"/>
  <c r="AS26" i="5"/>
  <c r="AT26" i="5"/>
  <c r="AT20" i="5"/>
  <c r="AS20" i="5"/>
  <c r="AT33" i="5"/>
  <c r="AS33" i="5"/>
  <c r="AT19" i="5"/>
  <c r="AS19" i="5"/>
  <c r="AT14" i="5"/>
  <c r="AS14" i="5"/>
  <c r="AT38" i="5"/>
  <c r="AS38" i="5"/>
  <c r="AS51" i="5"/>
  <c r="AT51" i="5"/>
  <c r="AS32" i="5"/>
  <c r="AT32" i="5"/>
  <c r="AT17" i="5"/>
  <c r="AS17" i="5"/>
  <c r="AS12" i="5"/>
  <c r="AT12" i="5"/>
  <c r="AS27" i="5"/>
  <c r="AT27" i="5"/>
  <c r="AT25" i="5"/>
  <c r="AS25" i="5"/>
  <c r="AT43" i="5"/>
  <c r="AS43" i="5"/>
  <c r="AS31" i="5"/>
  <c r="AT31" i="5"/>
  <c r="AS21" i="5"/>
  <c r="AT21" i="5"/>
  <c r="AS50" i="5"/>
  <c r="AT50" i="5"/>
  <c r="AT5" i="5"/>
  <c r="AS47" i="5"/>
  <c r="AT47" i="5"/>
  <c r="AS10" i="5"/>
  <c r="AT10" i="5"/>
  <c r="AS7" i="5"/>
  <c r="AT7" i="5"/>
  <c r="AU9" i="5" l="1"/>
  <c r="AU32" i="5"/>
  <c r="AU33" i="5"/>
  <c r="AU42" i="5"/>
  <c r="AU6" i="5"/>
  <c r="AU11" i="5"/>
  <c r="AU24" i="5"/>
  <c r="AU50" i="5"/>
  <c r="AU35" i="5"/>
  <c r="AU10" i="5"/>
  <c r="AU12" i="5"/>
  <c r="AU14" i="5"/>
  <c r="AU40" i="5"/>
  <c r="AU49" i="5"/>
  <c r="AU16" i="5"/>
  <c r="AU38" i="5"/>
  <c r="AU18" i="5"/>
  <c r="AU51" i="5"/>
  <c r="AU20" i="5"/>
  <c r="AU15" i="5"/>
  <c r="AU41" i="5"/>
  <c r="AU28" i="5"/>
  <c r="AU46" i="5"/>
  <c r="AU27" i="5"/>
  <c r="AU23" i="5"/>
  <c r="AU21" i="5"/>
  <c r="AU7" i="5"/>
  <c r="AU13" i="5"/>
  <c r="AU36" i="5"/>
  <c r="AU29" i="5"/>
  <c r="AU39" i="5"/>
  <c r="AU47" i="5"/>
  <c r="AU25" i="5"/>
  <c r="AU19" i="5"/>
  <c r="AU26" i="5"/>
  <c r="AU8" i="5"/>
  <c r="AU44" i="5"/>
  <c r="AU34" i="5"/>
  <c r="AU43" i="5"/>
  <c r="AU5" i="5"/>
  <c r="AU31" i="5"/>
  <c r="AU17" i="5"/>
  <c r="AU22" i="5"/>
  <c r="AU30" i="5"/>
  <c r="AU37" i="5"/>
  <c r="AJ5" i="33"/>
  <c r="AC5" i="33"/>
  <c r="AE5" i="33"/>
  <c r="AV5" i="33" s="1"/>
  <c r="AR5" i="33" l="1"/>
  <c r="AF5" i="33"/>
  <c r="AW5" i="33" s="1"/>
  <c r="D16" i="17" s="1"/>
  <c r="AM5" i="33"/>
  <c r="AN5" i="33" s="1"/>
  <c r="AO5" i="33" s="1"/>
  <c r="AP5" i="33" s="1"/>
  <c r="AG5" i="33"/>
  <c r="AT5" i="33" l="1"/>
  <c r="AD5" i="33"/>
  <c r="AL5" i="33" s="1"/>
  <c r="AQ5" i="33"/>
  <c r="AS5" i="33" s="1"/>
  <c r="AU5" i="3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<sst xmlns="http://schemas.openxmlformats.org/spreadsheetml/2006/main" count="1211" uniqueCount="318">
  <si>
    <t>Slope_adj factor</t>
  </si>
  <si>
    <t>Sed_del (mg/m2)</t>
  </si>
  <si>
    <t>Sed_del (mg/m2/yr)</t>
  </si>
  <si>
    <t xml:space="preserve">Sed_del (mg/Ha/yr) </t>
  </si>
  <si>
    <t>sed_del (t/Ha/yr)</t>
  </si>
  <si>
    <t>Dur_hr</t>
  </si>
  <si>
    <t>Inf_rate_mmperhr</t>
  </si>
  <si>
    <t>vbt5_mean_m3</t>
  </si>
  <si>
    <t>V_in_m3</t>
  </si>
  <si>
    <t>Predicted
mean volume of overland flow reaching stream -dipsersive (m3)</t>
  </si>
  <si>
    <t>Predicted
mean volume of overland flow reaching stream -gullied (m3)</t>
  </si>
  <si>
    <t>Mean plume length dispersive (m)</t>
  </si>
  <si>
    <t>Mean plume length gullied (m)</t>
  </si>
  <si>
    <t>Slope (Deg)</t>
  </si>
  <si>
    <t>Road Contrib_area (m2)</t>
  </si>
  <si>
    <t>Area threshold (m2)</t>
  </si>
  <si>
    <t>Volume reaching stream</t>
  </si>
  <si>
    <t>Road Surface area (Ha)</t>
  </si>
  <si>
    <t>Sed generation (t/yr)</t>
  </si>
  <si>
    <t>Sed generation (g/yr)</t>
  </si>
  <si>
    <t>Initial sed conc (g/L)</t>
  </si>
  <si>
    <t>Percentage of plume length -gullied (%)</t>
  </si>
  <si>
    <t>Percentage of plume length dispersive (%)</t>
  </si>
  <si>
    <t>Sediment conc at stream gullied (kg/m3)</t>
  </si>
  <si>
    <t>Sediment conc at stream dispersive (kg/m3)</t>
  </si>
  <si>
    <t>Sediment delivered (kg)</t>
  </si>
  <si>
    <t xml:space="preserve">sed_del_tHayr </t>
  </si>
  <si>
    <t>Infrate_mmhr</t>
  </si>
  <si>
    <t>vbt5_meanm3</t>
  </si>
  <si>
    <t>V_m3</t>
  </si>
  <si>
    <t>mpl_ d_m</t>
  </si>
  <si>
    <t>mpl_ g_m</t>
  </si>
  <si>
    <t>Sed_gen_gyr</t>
  </si>
  <si>
    <t>sed_del_kg</t>
  </si>
  <si>
    <t>sed_c_as_d_kgm3</t>
  </si>
  <si>
    <t>sed_c_as_g_kgm3</t>
  </si>
  <si>
    <t xml:space="preserve">Pct_pl_g </t>
  </si>
  <si>
    <t>Init_sed_con_gL</t>
  </si>
  <si>
    <t>rsurf_a_ha</t>
  </si>
  <si>
    <t>v_m3_1</t>
  </si>
  <si>
    <t>a_thresh_m2</t>
  </si>
  <si>
    <t>rcont_a_m2</t>
  </si>
  <si>
    <t>slp_deg</t>
  </si>
  <si>
    <t>pct_pl_d</t>
  </si>
  <si>
    <t>sed_gen_tyr</t>
  </si>
  <si>
    <t>pmof_rs _g_m3</t>
  </si>
  <si>
    <t>pmof_rs _d_m3</t>
  </si>
  <si>
    <t>sdel_mgm2</t>
  </si>
  <si>
    <t>sdel_mgm2yr</t>
  </si>
  <si>
    <t xml:space="preserve">sdel_mgHayr </t>
  </si>
  <si>
    <t>sl_adj_f</t>
  </si>
  <si>
    <t>rainan_mean</t>
  </si>
  <si>
    <t>30_10aep_mean</t>
  </si>
  <si>
    <t>P:\GIS Data\temporary Forest Road model backup as of 2112021\IFOA_master_inputs\roads_CLIPPED_Brigalow_and_Nandewar_100m_seg_buff_WGS84_seg_3D_join.csv</t>
  </si>
  <si>
    <t>P:\GIS Data\temporary Forest Road model backup as of 2112021\IFOA_master_inputs\roads_CLIPPED_Eden_100m_seg_buff_WGS84_seg_3D_join.csv</t>
  </si>
  <si>
    <t>P:\GIS Data\temporary Forest Road model backup as of 2112021\IFOA_master_inputs\roads_CLIPPED_Lower_North_East_100m_seg_buffer_WGS84_seg_3D_join.csv</t>
  </si>
  <si>
    <t>P:\GIS Data\temporary Forest Road model backup as of 2112021\IFOA_master_inputs\roads_CLIPPED_Non_IFOA_NW_100m_seg_buff_WGS84_seg_3D_join.csv</t>
  </si>
  <si>
    <t>P:\GIS Data\temporary Forest Road model backup as of 2112021\IFOA_master_inputs\roads_CLIPPED_Non_IFOA_Sydney_100m_seg_buff_WGS84_seg_3D_join.csv</t>
  </si>
  <si>
    <t>P:\GIS Data\temporary Forest Road model backup as of 2112021\IFOA_master_inputs\roads_CLIPPED_Riverina_Red_Gum_100m_seg_buff_WGS84_seg_3D_join.csv</t>
  </si>
  <si>
    <t>P:\GIS Data\temporary Forest Road model backup as of 2112021\IFOA_master_inputs\roads_CLIPPED_Southern_100m_seg_buff_WGS84_seg_3D_join.csv</t>
  </si>
  <si>
    <t>P:\GIS Data\temporary Forest Road model backup as of 2112021\IFOA_master_inputs\Roads_CLIPPED_SWP_North_half_100m_seg_buff_WGS84_seg_3D_join.csv</t>
  </si>
  <si>
    <t>P:\GIS Data\temporary Forest Road model backup as of 2112021\IFOA_master_inputs\Roads_CLIPPED_SWP_SE_quarter_100m_seg_buff_WGS84_seg_3D_join.csv</t>
  </si>
  <si>
    <t>P:\GIS Data\temporary Forest Road model backup as of 2112021\IFOA_master_inputs\Roads_CLIPPED_SWP_SW_quarter_100m_seg_buff_WGS84_seg_3D_join.csv</t>
  </si>
  <si>
    <t>P:\GIS Data\temporary Forest Road model backup as of 2112021\IFOA_master_inputs\roads_CLIPPED_Upper_North_East_100m_seg_buff_WGS84_seg_3D_join.csv</t>
  </si>
  <si>
    <t>This worksheet process a series of CSV input files through the model calculations, saving the model outputs as a separate csv file</t>
  </si>
  <si>
    <t>P:\GIS Data\temporary Forest Road model backup as of 2112021\IFOA_master_outputs</t>
  </si>
  <si>
    <t>Input file name</t>
  </si>
  <si>
    <t>Input Location</t>
  </si>
  <si>
    <t>Output file name</t>
  </si>
  <si>
    <t>output locaiton</t>
  </si>
  <si>
    <t>Road_sediment_calcs_BriglalowNandewar</t>
  </si>
  <si>
    <t>Road_sediment_calcs_Eden</t>
  </si>
  <si>
    <t>Road_sediment_calcs_LowerNE</t>
  </si>
  <si>
    <t>Road_sediment_calcs_NonIFOANW</t>
  </si>
  <si>
    <t>Road_sediment_calcs_NonIFOASydney</t>
  </si>
  <si>
    <t>Road_sediment_calcs_RiverinaRedGum</t>
  </si>
  <si>
    <t>Road_sediment_calcs_Southern</t>
  </si>
  <si>
    <t>Road_sediment_calcs_SWPNorthHalf</t>
  </si>
  <si>
    <t>Road_sediment_calcs_SWPSEQuarter</t>
  </si>
  <si>
    <t>Road_sediment_calcs_SWPSWQuarter</t>
  </si>
  <si>
    <t>Road_sediment_calcs_UpperNE</t>
  </si>
  <si>
    <t>roads_CLIPPED_Brigalow_and_Nandewar_100m_seg_buff_WGS84_seg_3D_join.csv</t>
  </si>
  <si>
    <t>roads_CLIPPED_Eden_100m_seg_buff_WGS84_seg_3D_join.csv</t>
  </si>
  <si>
    <t>roads_CLIPPED_Lower_North_East_100m_seg_buffer_WGS84_seg_3D_join.csv</t>
  </si>
  <si>
    <t>roads_CLIPPED_Non_IFOA_NW_100m_seg_buff_WGS84_seg_3D_join.csv</t>
  </si>
  <si>
    <t>roads_CLIPPED_Non_IFOA_Sydney_100m_seg_buff_WGS84_seg_3D_join.csv</t>
  </si>
  <si>
    <t>roads_CLIPPED_Riverina_Red_Gum_100m_seg_buff_WGS84_seg_3D_join.csv</t>
  </si>
  <si>
    <t>roads_CLIPPED_Southern_100m_seg_buff_WGS84_seg_3D_join.csv</t>
  </si>
  <si>
    <t>Roads_CLIPPED_SWP_North_half_100m_seg_buff_WGS84_seg_3D_join.csv</t>
  </si>
  <si>
    <t>Roads_CLIPPED_SWP_SE_quarter_100m_seg_buff_WGS84_seg_3D_join.csv</t>
  </si>
  <si>
    <t>Roads_CLIPPED_SWP_SW_quarter_100m_seg_buff_WGS84_seg_3D_join.csv</t>
  </si>
  <si>
    <t>roads_CLIPPED_Upper_North_East_100m_seg_buff_WGS84_seg_3D_join.csv</t>
  </si>
  <si>
    <t xml:space="preserve"> F_ax_pw</t>
  </si>
  <si>
    <t>Point_ID</t>
  </si>
  <si>
    <t>Drain</t>
  </si>
  <si>
    <t>Easting</t>
  </si>
  <si>
    <t>Northing</t>
  </si>
  <si>
    <t>Elevation</t>
  </si>
  <si>
    <t>Road_width</t>
  </si>
  <si>
    <t>Crowning</t>
  </si>
  <si>
    <t>Drain_
catchment_area</t>
  </si>
  <si>
    <t>Road _slope</t>
  </si>
  <si>
    <t>Drain_slope</t>
  </si>
  <si>
    <t>Stream conenction (Hairsine et al, 2002)</t>
  </si>
  <si>
    <t>Feature type</t>
  </si>
  <si>
    <t xml:space="preserve"> Distance to stream</t>
  </si>
  <si>
    <t>Gully initiation (Croke &amp; Mockler, 2001)</t>
  </si>
  <si>
    <t>Gully likelihood</t>
  </si>
  <si>
    <t xml:space="preserve">Exponential decline in sediment concentration (Croke et al, 2005) </t>
  </si>
  <si>
    <t xml:space="preserve">Gully observation </t>
  </si>
  <si>
    <t>With bypass</t>
  </si>
  <si>
    <t>Gullying</t>
  </si>
  <si>
    <t>Distance between plume and waterway (m) - dispersive</t>
  </si>
  <si>
    <t>Distance between plume and waterway (m) - Gullied</t>
  </si>
  <si>
    <t>Disp_offset_m</t>
  </si>
  <si>
    <t>Gull_offset_m</t>
  </si>
  <si>
    <t>Management parameters</t>
  </si>
  <si>
    <t>Point ID</t>
  </si>
  <si>
    <t>Y coordinate</t>
  </si>
  <si>
    <t>X coordinate</t>
  </si>
  <si>
    <t>Slope of road at drain</t>
  </si>
  <si>
    <t>Stream_dist</t>
  </si>
  <si>
    <t>Type</t>
  </si>
  <si>
    <t>Blockage_factor</t>
  </si>
  <si>
    <t>Drain blocked ? (1=yes, 0= no)</t>
  </si>
  <si>
    <t>Width of road</t>
  </si>
  <si>
    <t>Perentage of road contributing to drain</t>
  </si>
  <si>
    <t>Drain gullied? (1=yes, 0=no)</t>
  </si>
  <si>
    <t>Gully_factor</t>
  </si>
  <si>
    <t>Slope of drain</t>
  </si>
  <si>
    <t>Gully_pred</t>
  </si>
  <si>
    <t>Gully_obs</t>
  </si>
  <si>
    <t>Input data</t>
  </si>
  <si>
    <t>Axles per week</t>
  </si>
  <si>
    <t>Mean annual rainfall</t>
  </si>
  <si>
    <t>30 minute 10% AEP rainfall instensity</t>
  </si>
  <si>
    <t xml:space="preserve">Catchment area of drain </t>
  </si>
  <si>
    <t>Description</t>
  </si>
  <si>
    <t xml:space="preserve">25 % crowning </t>
  </si>
  <si>
    <t xml:space="preserve">50 % crowning </t>
  </si>
  <si>
    <t xml:space="preserve">75 % crowning </t>
  </si>
  <si>
    <t xml:space="preserve">100 % crowning </t>
  </si>
  <si>
    <t>Stream distance as percentage of gullied plume length (%)</t>
  </si>
  <si>
    <t>Stream distance as a percentage of dispersive plume length (%)</t>
  </si>
  <si>
    <t>Road drain area modifier</t>
  </si>
  <si>
    <t>All gullied</t>
  </si>
  <si>
    <t>25 % of the road width contributes to the drain, or drain spacing reduced by 75 %</t>
  </si>
  <si>
    <t>50 % of the road width contributes to the drain, or number of drains doubled</t>
  </si>
  <si>
    <t>75 % of the road width contributes to the drain, or drain spacing reduced by 25 %</t>
  </si>
  <si>
    <t>100 % of the road width contributes to the drain, no change in drain spacing</t>
  </si>
  <si>
    <t>Distance to upslope drain (no bypass)</t>
  </si>
  <si>
    <t>Distance to upslope drain (with bypass)</t>
  </si>
  <si>
    <t>Drain_spacing_with_bp</t>
  </si>
  <si>
    <t>Drain_spacing_no_bp</t>
  </si>
  <si>
    <t>Upslope drain bypassed? (=yes, 0=no)</t>
  </si>
  <si>
    <t>Upslope drain bypassed? (1=yes, 0=no)</t>
  </si>
  <si>
    <t>Distance to upslope drain no bypass</t>
  </si>
  <si>
    <t>Bypass_factor</t>
  </si>
  <si>
    <t>Percentage of drains bypassed</t>
  </si>
  <si>
    <t>Percentage of drains blocked</t>
  </si>
  <si>
    <t>Percentage of drains gullied</t>
  </si>
  <si>
    <t>Drain_
catchment_area2</t>
  </si>
  <si>
    <t>sl_adj_f3</t>
  </si>
  <si>
    <t>sdel_mgm24</t>
  </si>
  <si>
    <t>sdel_mgm2yr5</t>
  </si>
  <si>
    <t>sdel_mgHayr 6</t>
  </si>
  <si>
    <t>sed_del_tHayr 7</t>
  </si>
  <si>
    <t>Dur_hr8</t>
  </si>
  <si>
    <t>Infrate_mmhr9</t>
  </si>
  <si>
    <t>vbt5_meanm310</t>
  </si>
  <si>
    <t>V_m311</t>
  </si>
  <si>
    <t>pmof_rs _d_m312</t>
  </si>
  <si>
    <t>pmof_rs _g_m313</t>
  </si>
  <si>
    <t>mpl_ d_m14</t>
  </si>
  <si>
    <t>mpl_ g_m15</t>
  </si>
  <si>
    <t>Gully_pred16</t>
  </si>
  <si>
    <t>Gully_obs17</t>
  </si>
  <si>
    <t>slp_deg18</t>
  </si>
  <si>
    <t>rcont_a_m219</t>
  </si>
  <si>
    <t>a_thresh_m220</t>
  </si>
  <si>
    <t>v_m3_121</t>
  </si>
  <si>
    <t>rsurf_a_ha22</t>
  </si>
  <si>
    <t>sed_gen_tyr23</t>
  </si>
  <si>
    <t>Sed_gen_gyr24</t>
  </si>
  <si>
    <t>Init_sed_con_gL25</t>
  </si>
  <si>
    <t>Pct_pl_g 26</t>
  </si>
  <si>
    <t>pct_pl_d27</t>
  </si>
  <si>
    <t>sed_c_as_g_kgm328</t>
  </si>
  <si>
    <t>sed_c_as_d_kgm329</t>
  </si>
  <si>
    <t>Disp_offset_m31</t>
  </si>
  <si>
    <t>Gull_offset_m32</t>
  </si>
  <si>
    <t>Drain_
catchment_area33</t>
  </si>
  <si>
    <t>sl_adj_f34</t>
  </si>
  <si>
    <t>sdel_mgm235</t>
  </si>
  <si>
    <t>sdel_mgm2yr36</t>
  </si>
  <si>
    <t>sdel_mgHayr 37</t>
  </si>
  <si>
    <t>sed_del_tHayr 38</t>
  </si>
  <si>
    <t>Dur_hr39</t>
  </si>
  <si>
    <t>Infrate_mmhr40</t>
  </si>
  <si>
    <t>vbt5_meanm341</t>
  </si>
  <si>
    <t>V_m342</t>
  </si>
  <si>
    <t>pmof_rs _d_m343</t>
  </si>
  <si>
    <t>pmof_rs _g_m344</t>
  </si>
  <si>
    <t>mpl_ d_m45</t>
  </si>
  <si>
    <t>mpl_ g_m46</t>
  </si>
  <si>
    <t>Gully_pred47</t>
  </si>
  <si>
    <t>Gully_obs48</t>
  </si>
  <si>
    <t>slp_deg49</t>
  </si>
  <si>
    <t>rcont_a_m250</t>
  </si>
  <si>
    <t>a_thresh_m251</t>
  </si>
  <si>
    <t>v_m3_152</t>
  </si>
  <si>
    <t>rsurf_a_ha53</t>
  </si>
  <si>
    <t>sed_gen_tyr54</t>
  </si>
  <si>
    <t>Sed_gen_gyr55</t>
  </si>
  <si>
    <t>Init_sed_con_gL56</t>
  </si>
  <si>
    <t>Pct_pl_g 57</t>
  </si>
  <si>
    <t>pct_pl_d58</t>
  </si>
  <si>
    <t>sed_c_as_g_kgm359</t>
  </si>
  <si>
    <t>sed_c_as_d_kgm360</t>
  </si>
  <si>
    <t>Disp_offset_m62</t>
  </si>
  <si>
    <t>Gull_offset_m63</t>
  </si>
  <si>
    <t>Drain_
catchment_area64</t>
  </si>
  <si>
    <t>sl_adj_f65</t>
  </si>
  <si>
    <t>sdel_mgm266</t>
  </si>
  <si>
    <t>sdel_mgm2yr67</t>
  </si>
  <si>
    <t>sdel_mgHayr 68</t>
  </si>
  <si>
    <t>sed_del_tHayr 69</t>
  </si>
  <si>
    <t>Dur_hr70</t>
  </si>
  <si>
    <t>Infrate_mmhr71</t>
  </si>
  <si>
    <t>vbt5_meanm372</t>
  </si>
  <si>
    <t>V_m373</t>
  </si>
  <si>
    <t>pmof_rs _d_m374</t>
  </si>
  <si>
    <t>pmof_rs _g_m375</t>
  </si>
  <si>
    <t>mpl_ d_m76</t>
  </si>
  <si>
    <t>mpl_ g_m77</t>
  </si>
  <si>
    <t>Gully_pred78</t>
  </si>
  <si>
    <t>Gully_obs79</t>
  </si>
  <si>
    <t>slp_deg80</t>
  </si>
  <si>
    <t>rcont_a_m281</t>
  </si>
  <si>
    <t>a_thresh_m282</t>
  </si>
  <si>
    <t>v_m3_183</t>
  </si>
  <si>
    <t>rsurf_a_ha84</t>
  </si>
  <si>
    <t>sed_gen_tyr85</t>
  </si>
  <si>
    <t>Sed_gen_gyr86</t>
  </si>
  <si>
    <t>Init_sed_con_gL87</t>
  </si>
  <si>
    <t>Pct_pl_g 88</t>
  </si>
  <si>
    <t>pct_pl_d89</t>
  </si>
  <si>
    <t>sed_c_as_g_kgm390</t>
  </si>
  <si>
    <t>sed_c_as_d_kgm391</t>
  </si>
  <si>
    <t>sed_del_kg92</t>
  </si>
  <si>
    <t>Disp_offset_m93</t>
  </si>
  <si>
    <t>Gull_offset_m94</t>
  </si>
  <si>
    <t>Column1</t>
  </si>
  <si>
    <t>Drain_catchment_area</t>
  </si>
  <si>
    <t xml:space="preserve">Drain condition </t>
  </si>
  <si>
    <t>Drain catchment modifier (%)</t>
  </si>
  <si>
    <t>Exisitng drain catchment area</t>
  </si>
  <si>
    <t>All drains functioning</t>
  </si>
  <si>
    <t>Difference in sediment delivery due to drain bypass</t>
  </si>
  <si>
    <t>Difference in distance between plume and waterway due to bypass (m) - dispersive</t>
  </si>
  <si>
    <t>Difference in distance between plume and waterway due to bypass (m) - gullied</t>
  </si>
  <si>
    <t>disp_plume-offset_bypass_m</t>
  </si>
  <si>
    <t>gullied_plume_offset_bypass</t>
  </si>
  <si>
    <t xml:space="preserve">No drains bypassed </t>
  </si>
  <si>
    <t>Average distance between plume termination point 
and waterway for dispersive drains (m)</t>
  </si>
  <si>
    <t>Average distance between plume termination point 
and waterway (m)</t>
  </si>
  <si>
    <t>All drains gullied</t>
  </si>
  <si>
    <t>No drains gullied</t>
  </si>
  <si>
    <t>Calculated distance between plume and waterway (m)</t>
  </si>
  <si>
    <t>Observed_plume_waterway_offset</t>
  </si>
  <si>
    <t>Exisitng drain outlet state</t>
  </si>
  <si>
    <t>75 % reduction in drain catchment area</t>
  </si>
  <si>
    <t>50 % reduction in drain catchment area</t>
  </si>
  <si>
    <t>25 % reduction in drain catchment area</t>
  </si>
  <si>
    <t>sed_del_kg_catch25</t>
  </si>
  <si>
    <t>sed_del_kg_existing</t>
  </si>
  <si>
    <t>sed_del_kg_catch50</t>
  </si>
  <si>
    <t>sed_del_kg_catch75</t>
  </si>
  <si>
    <t>sed_del_kg_no_drain_BP</t>
  </si>
  <si>
    <t>sed_del_kg_with_BP</t>
  </si>
  <si>
    <t>None gullied</t>
  </si>
  <si>
    <t>Diff_sed_del_kg_due_gullying</t>
  </si>
  <si>
    <t>sed_del_kg_no_gully</t>
  </si>
  <si>
    <t>Sed_del_diff_kg_due_bypass</t>
  </si>
  <si>
    <t>Decrease in average sediment delivered to 
waterways per unit decaese in drain catchment area (kg)</t>
  </si>
  <si>
    <t>Distance between plume termination point
and waterway for gullied drains (m)</t>
  </si>
  <si>
    <t>Observed drain performance (any bypass included)</t>
  </si>
  <si>
    <t>Average reduction in sediment delivered 
to waterways achieved by drain maintenance (kg)</t>
  </si>
  <si>
    <t>Average reduction in sediment delivered to 
waterways achieved by preventing gullying (kg)</t>
  </si>
  <si>
    <t xml:space="preserve">Management action </t>
  </si>
  <si>
    <t>Measure</t>
  </si>
  <si>
    <t>Reduce drain catchment area by:
- decreasing drain spacing (adding drains), 
- crowning road, 
- some combination of the two</t>
  </si>
  <si>
    <t>Clear drains of accumated seidment 
to prevent blockage and drain bypass</t>
  </si>
  <si>
    <t xml:space="preserve">Increase erosion resitance at drainoutlet to
prevent gully development </t>
  </si>
  <si>
    <t>Change in sediment delivery (kg)</t>
  </si>
  <si>
    <t>sed_del_kg_gullied</t>
  </si>
  <si>
    <t>Average distance between plume termination point 
and waterway for gullied drains (m)</t>
  </si>
  <si>
    <t>Maintenance</t>
  </si>
  <si>
    <t>Road design</t>
  </si>
  <si>
    <t>Total sediment delivered to waterway (kg)</t>
  </si>
  <si>
    <t>HIGH</t>
  </si>
  <si>
    <t>MEDIUM</t>
  </si>
  <si>
    <t>LOW</t>
  </si>
  <si>
    <t>Intervention score</t>
  </si>
  <si>
    <t>Score</t>
  </si>
  <si>
    <t>Intervention ranking</t>
  </si>
  <si>
    <t>Pct_decraese_sed_25</t>
  </si>
  <si>
    <t>Pct_decraese_sed_50</t>
  </si>
  <si>
    <t>Pct_decraese_sed_75</t>
  </si>
  <si>
    <t>Pct_decraese_no_gullies</t>
  </si>
  <si>
    <t>Pct_decraese_decrease_no_bypass</t>
  </si>
  <si>
    <t>Network sediment delivery summary</t>
  </si>
  <si>
    <t xml:space="preserve">Increase erosion resistance at drain outlet to
prevent gully development </t>
  </si>
  <si>
    <t>Clear drains of accumulated sediment 
to prevent blockage and drain bypass</t>
  </si>
  <si>
    <t>The possible reduction in sediment delivery from roads to waterways, relative to the base case, is less than 33 %</t>
  </si>
  <si>
    <t>The possible reduction in sediment delivery from roads to waterways, relative to the base case, is between 33 and 66 %</t>
  </si>
  <si>
    <t>The possible reduction in sediment delivery from roads to waterways, relative to the base case, is greater than 66 %</t>
  </si>
  <si>
    <t xml:space="preserve">Sediment reduction 
relative to base case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</si>
</sst>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9E0F3"/>
        <bgColor indexed="64"/>
      </patternFill>
    </fill>
    <fill>
      <patternFill patternType="solid">
        <fgColor rgb="FF72BBF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EC23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/>
    <xf numFmtId="2" fontId="0" fillId="0" borderId="0" xfId="0" applyNumberFormat="1" applyFill="1" applyBorder="1"/>
    <xf numFmtId="0" fontId="0" fillId="2" borderId="2" xfId="0" applyFill="1" applyBorder="1" applyAlignment="1">
      <alignment wrapText="1"/>
    </xf>
    <xf numFmtId="0" fontId="0" fillId="2" borderId="0" xfId="0" applyFill="1" applyBorder="1" applyAlignment="1">
      <alignment vertical="top" wrapText="1"/>
    </xf>
    <xf numFmtId="164" fontId="0" fillId="0" borderId="0" xfId="0" applyNumberFormat="1" applyFill="1" applyBorder="1"/>
    <xf numFmtId="165" fontId="0" fillId="0" borderId="0" xfId="0" applyNumberFormat="1" applyFill="1" applyBorder="1"/>
    <xf numFmtId="1" fontId="0" fillId="0" borderId="0" xfId="0" applyNumberFormat="1" applyFill="1" applyBorder="1"/>
    <xf numFmtId="0" fontId="0" fillId="4" borderId="0" xfId="0" applyFill="1" applyBorder="1" applyAlignment="1">
      <alignment vertical="top" wrapText="1"/>
    </xf>
    <xf numFmtId="0" fontId="0" fillId="4" borderId="2" xfId="0" applyFill="1" applyBorder="1" applyAlignment="1">
      <alignment wrapText="1"/>
    </xf>
    <xf numFmtId="0" fontId="0" fillId="5" borderId="0" xfId="0" applyFill="1" applyBorder="1" applyAlignment="1">
      <alignment vertical="top" wrapText="1"/>
    </xf>
    <xf numFmtId="0" fontId="0" fillId="5" borderId="2" xfId="0" applyFill="1" applyBorder="1" applyAlignment="1">
      <alignment wrapText="1"/>
    </xf>
    <xf numFmtId="0" fontId="0" fillId="6" borderId="0" xfId="0" applyFill="1" applyBorder="1" applyAlignment="1">
      <alignment vertical="top" wrapText="1"/>
    </xf>
    <xf numFmtId="0" fontId="0" fillId="6" borderId="0" xfId="0" applyFill="1" applyBorder="1" applyAlignment="1">
      <alignment vertical="top"/>
    </xf>
    <xf numFmtId="0" fontId="0" fillId="6" borderId="2" xfId="0" applyFill="1" applyBorder="1" applyAlignment="1">
      <alignment wrapText="1"/>
    </xf>
    <xf numFmtId="0" fontId="0" fillId="6" borderId="2" xfId="0" applyFill="1" applyBorder="1"/>
    <xf numFmtId="0" fontId="0" fillId="7" borderId="0" xfId="0" applyFill="1" applyBorder="1" applyAlignment="1">
      <alignment vertical="top" wrapText="1"/>
    </xf>
    <xf numFmtId="0" fontId="0" fillId="7" borderId="2" xfId="0" applyFill="1" applyBorder="1" applyAlignment="1">
      <alignment wrapText="1"/>
    </xf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2" fillId="9" borderId="4" xfId="0" applyFont="1" applyFill="1" applyBorder="1" applyAlignment="1">
      <alignment horizontal="center"/>
    </xf>
    <xf numFmtId="0" fontId="0" fillId="9" borderId="2" xfId="0" applyFill="1" applyBorder="1" applyAlignment="1">
      <alignment wrapText="1"/>
    </xf>
    <xf numFmtId="0" fontId="4" fillId="9" borderId="0" xfId="0" applyFont="1" applyFill="1" applyAlignment="1">
      <alignment wrapText="1"/>
    </xf>
    <xf numFmtId="0" fontId="2" fillId="9" borderId="0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2" fillId="3" borderId="3" xfId="0" applyFont="1" applyFill="1" applyBorder="1" applyAlignment="1"/>
    <xf numFmtId="0" fontId="2" fillId="9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4" fillId="9" borderId="0" xfId="0" applyFont="1" applyFill="1" applyAlignment="1">
      <alignment horizontal="center" wrapText="1"/>
    </xf>
    <xf numFmtId="0" fontId="2" fillId="9" borderId="4" xfId="0" applyFont="1" applyFill="1" applyBorder="1" applyAlignment="1">
      <alignment horizontal="center"/>
    </xf>
    <xf numFmtId="0" fontId="0" fillId="0" borderId="0" xfId="0" applyNumberFormat="1"/>
    <xf numFmtId="0" fontId="2" fillId="9" borderId="4" xfId="0" applyFont="1" applyFill="1" applyBorder="1" applyAlignment="1">
      <alignment horizontal="center"/>
    </xf>
    <xf numFmtId="0" fontId="4" fillId="9" borderId="0" xfId="0" applyFont="1" applyFill="1" applyAlignment="1">
      <alignment horizontal="center" wrapText="1"/>
    </xf>
    <xf numFmtId="164" fontId="0" fillId="0" borderId="0" xfId="0" applyNumberFormat="1"/>
    <xf numFmtId="0" fontId="0" fillId="7" borderId="0" xfId="0" applyFill="1" applyBorder="1" applyAlignment="1">
      <alignment wrapText="1"/>
    </xf>
    <xf numFmtId="0" fontId="0" fillId="11" borderId="0" xfId="0" applyFill="1" applyBorder="1" applyAlignment="1">
      <alignment vertical="top" wrapText="1"/>
    </xf>
    <xf numFmtId="0" fontId="0" fillId="11" borderId="2" xfId="0" applyFill="1" applyBorder="1" applyAlignment="1">
      <alignment wrapText="1"/>
    </xf>
    <xf numFmtId="0" fontId="0" fillId="11" borderId="0" xfId="0" applyFill="1" applyBorder="1"/>
    <xf numFmtId="0" fontId="0" fillId="2" borderId="0" xfId="0" applyFill="1" applyBorder="1" applyAlignment="1">
      <alignment wrapText="1"/>
    </xf>
    <xf numFmtId="0" fontId="0" fillId="0" borderId="4" xfId="0" applyFill="1" applyBorder="1"/>
    <xf numFmtId="0" fontId="4" fillId="3" borderId="0" xfId="0" applyFont="1" applyFill="1" applyAlignment="1">
      <alignment wrapText="1"/>
    </xf>
    <xf numFmtId="0" fontId="6" fillId="9" borderId="8" xfId="0" applyFont="1" applyFill="1" applyBorder="1" applyAlignment="1">
      <alignment wrapText="1"/>
    </xf>
    <xf numFmtId="0" fontId="8" fillId="4" borderId="8" xfId="0" applyFont="1" applyFill="1" applyBorder="1" applyAlignment="1">
      <alignment wrapText="1"/>
    </xf>
    <xf numFmtId="0" fontId="8" fillId="6" borderId="8" xfId="0" applyFont="1" applyFill="1" applyBorder="1" applyAlignment="1">
      <alignment wrapText="1"/>
    </xf>
    <xf numFmtId="0" fontId="8" fillId="6" borderId="8" xfId="0" applyFont="1" applyFill="1" applyBorder="1"/>
    <xf numFmtId="0" fontId="8" fillId="5" borderId="8" xfId="0" applyFont="1" applyFill="1" applyBorder="1" applyAlignment="1">
      <alignment wrapText="1"/>
    </xf>
    <xf numFmtId="0" fontId="8" fillId="2" borderId="8" xfId="0" applyFont="1" applyFill="1" applyBorder="1" applyAlignment="1">
      <alignment wrapText="1"/>
    </xf>
    <xf numFmtId="0" fontId="8" fillId="7" borderId="8" xfId="0" applyFont="1" applyFill="1" applyBorder="1" applyAlignment="1">
      <alignment wrapText="1"/>
    </xf>
    <xf numFmtId="0" fontId="8" fillId="11" borderId="8" xfId="0" applyFont="1" applyFill="1" applyBorder="1" applyAlignment="1">
      <alignment wrapText="1"/>
    </xf>
    <xf numFmtId="0" fontId="9" fillId="0" borderId="0" xfId="0" applyFont="1" applyFill="1" applyBorder="1"/>
    <xf numFmtId="1" fontId="0" fillId="0" borderId="0" xfId="0" applyNumberFormat="1"/>
    <xf numFmtId="0" fontId="2" fillId="3" borderId="7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wrapText="1"/>
    </xf>
    <xf numFmtId="0" fontId="0" fillId="10" borderId="4" xfId="0" applyFont="1" applyFill="1" applyBorder="1"/>
    <xf numFmtId="0" fontId="0" fillId="10" borderId="4" xfId="0" applyFont="1" applyFill="1" applyBorder="1" applyAlignment="1"/>
    <xf numFmtId="0" fontId="0" fillId="10" borderId="8" xfId="0" applyFont="1" applyFill="1" applyBorder="1" applyAlignment="1"/>
    <xf numFmtId="2" fontId="0" fillId="10" borderId="4" xfId="0" applyNumberFormat="1" applyFont="1" applyFill="1" applyBorder="1"/>
    <xf numFmtId="164" fontId="0" fillId="10" borderId="4" xfId="0" applyNumberFormat="1" applyFont="1" applyFill="1" applyBorder="1"/>
    <xf numFmtId="165" fontId="0" fillId="10" borderId="4" xfId="0" applyNumberFormat="1" applyFont="1" applyFill="1" applyBorder="1"/>
    <xf numFmtId="0" fontId="0" fillId="10" borderId="8" xfId="0" applyFont="1" applyFill="1" applyBorder="1"/>
    <xf numFmtId="1" fontId="0" fillId="10" borderId="4" xfId="0" applyNumberFormat="1" applyFont="1" applyFill="1" applyBorder="1"/>
    <xf numFmtId="0" fontId="6" fillId="9" borderId="0" xfId="0" applyFont="1" applyFill="1" applyBorder="1" applyAlignment="1">
      <alignment wrapText="1"/>
    </xf>
    <xf numFmtId="0" fontId="8" fillId="4" borderId="0" xfId="0" applyFont="1" applyFill="1" applyBorder="1" applyAlignment="1">
      <alignment wrapText="1"/>
    </xf>
    <xf numFmtId="0" fontId="8" fillId="6" borderId="0" xfId="0" applyFont="1" applyFill="1" applyBorder="1" applyAlignment="1">
      <alignment wrapText="1"/>
    </xf>
    <xf numFmtId="0" fontId="8" fillId="6" borderId="0" xfId="0" applyFont="1" applyFill="1" applyBorder="1"/>
    <xf numFmtId="0" fontId="8" fillId="5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8" fillId="7" borderId="0" xfId="0" applyFont="1" applyFill="1" applyBorder="1" applyAlignment="1">
      <alignment wrapText="1"/>
    </xf>
    <xf numFmtId="0" fontId="8" fillId="11" borderId="0" xfId="0" applyFont="1" applyFill="1" applyBorder="1" applyAlignment="1">
      <alignment wrapText="1"/>
    </xf>
    <xf numFmtId="0" fontId="8" fillId="4" borderId="9" xfId="0" applyFont="1" applyFill="1" applyBorder="1" applyAlignment="1">
      <alignment wrapText="1"/>
    </xf>
    <xf numFmtId="0" fontId="0" fillId="10" borderId="10" xfId="0" applyFont="1" applyFill="1" applyBorder="1" applyAlignment="1"/>
    <xf numFmtId="0" fontId="6" fillId="9" borderId="9" xfId="0" applyFont="1" applyFill="1" applyBorder="1" applyAlignment="1">
      <alignment wrapText="1"/>
    </xf>
    <xf numFmtId="164" fontId="0" fillId="0" borderId="0" xfId="0" applyNumberFormat="1" applyFill="1" applyBorder="1" applyAlignment="1">
      <alignment horizontal="right" wrapText="1"/>
    </xf>
    <xf numFmtId="0" fontId="0" fillId="0" borderId="2" xfId="0" applyFill="1" applyBorder="1" applyAlignment="1"/>
    <xf numFmtId="164" fontId="0" fillId="0" borderId="0" xfId="0" applyNumberFormat="1" applyFill="1"/>
    <xf numFmtId="0" fontId="0" fillId="12" borderId="0" xfId="0" applyFill="1" applyBorder="1"/>
    <xf numFmtId="0" fontId="0" fillId="12" borderId="11" xfId="0" applyFill="1" applyBorder="1"/>
    <xf numFmtId="0" fontId="0" fillId="12" borderId="0" xfId="0" applyFill="1" applyBorder="1" applyAlignment="1">
      <alignment vertical="top" wrapText="1"/>
    </xf>
    <xf numFmtId="0" fontId="0" fillId="12" borderId="11" xfId="0" applyFill="1" applyBorder="1" applyAlignment="1">
      <alignment vertical="top" wrapText="1"/>
    </xf>
    <xf numFmtId="0" fontId="0" fillId="12" borderId="2" xfId="0" applyFont="1" applyFill="1" applyBorder="1" applyAlignment="1">
      <alignment wrapText="1"/>
    </xf>
    <xf numFmtId="0" fontId="0" fillId="12" borderId="12" xfId="0" applyFont="1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0" fillId="10" borderId="0" xfId="0" applyFont="1" applyFill="1" applyBorder="1"/>
    <xf numFmtId="0" fontId="0" fillId="10" borderId="0" xfId="0" applyNumberFormat="1" applyFont="1" applyFill="1" applyBorder="1"/>
    <xf numFmtId="0" fontId="0" fillId="10" borderId="0" xfId="0" applyFont="1" applyFill="1" applyBorder="1" applyAlignment="1"/>
    <xf numFmtId="2" fontId="0" fillId="10" borderId="0" xfId="0" applyNumberFormat="1" applyFont="1" applyFill="1" applyBorder="1"/>
    <xf numFmtId="164" fontId="0" fillId="10" borderId="0" xfId="0" applyNumberFormat="1" applyFont="1" applyFill="1" applyBorder="1"/>
    <xf numFmtId="165" fontId="0" fillId="10" borderId="0" xfId="0" applyNumberFormat="1" applyFont="1" applyFill="1" applyBorder="1"/>
    <xf numFmtId="1" fontId="0" fillId="10" borderId="0" xfId="0" applyNumberFormat="1" applyFont="1" applyFill="1" applyBorder="1"/>
    <xf numFmtId="0" fontId="0" fillId="10" borderId="9" xfId="0" applyFont="1" applyFill="1" applyBorder="1"/>
    <xf numFmtId="0" fontId="0" fillId="10" borderId="9" xfId="0" applyFont="1" applyFill="1" applyBorder="1" applyAlignment="1"/>
    <xf numFmtId="165" fontId="0" fillId="0" borderId="0" xfId="0" applyNumberFormat="1" applyFill="1"/>
    <xf numFmtId="1" fontId="0" fillId="0" borderId="0" xfId="0" applyNumberFormat="1" applyFill="1"/>
    <xf numFmtId="0" fontId="6" fillId="9" borderId="17" xfId="0" applyFont="1" applyFill="1" applyBorder="1" applyAlignment="1">
      <alignment wrapText="1"/>
    </xf>
    <xf numFmtId="0" fontId="6" fillId="4" borderId="8" xfId="0" applyFont="1" applyFill="1" applyBorder="1" applyAlignment="1">
      <alignment wrapText="1"/>
    </xf>
    <xf numFmtId="0" fontId="6" fillId="6" borderId="8" xfId="0" applyFont="1" applyFill="1" applyBorder="1" applyAlignment="1">
      <alignment wrapText="1"/>
    </xf>
    <xf numFmtId="0" fontId="6" fillId="6" borderId="8" xfId="0" applyFont="1" applyFill="1" applyBorder="1"/>
    <xf numFmtId="0" fontId="6" fillId="5" borderId="8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6" fillId="7" borderId="8" xfId="0" applyFont="1" applyFill="1" applyBorder="1" applyAlignment="1">
      <alignment wrapText="1"/>
    </xf>
    <xf numFmtId="0" fontId="6" fillId="11" borderId="8" xfId="0" applyFont="1" applyFill="1" applyBorder="1" applyAlignment="1">
      <alignment wrapText="1"/>
    </xf>
    <xf numFmtId="0" fontId="0" fillId="10" borderId="15" xfId="0" applyFont="1" applyFill="1" applyBorder="1"/>
    <xf numFmtId="0" fontId="0" fillId="10" borderId="14" xfId="0" applyFont="1" applyFill="1" applyBorder="1" applyAlignment="1"/>
    <xf numFmtId="2" fontId="0" fillId="10" borderId="15" xfId="0" applyNumberFormat="1" applyFont="1" applyFill="1" applyBorder="1"/>
    <xf numFmtId="164" fontId="0" fillId="10" borderId="15" xfId="0" applyNumberFormat="1" applyFont="1" applyFill="1" applyBorder="1"/>
    <xf numFmtId="165" fontId="0" fillId="10" borderId="15" xfId="0" applyNumberFormat="1" applyFont="1" applyFill="1" applyBorder="1"/>
    <xf numFmtId="0" fontId="0" fillId="10" borderId="14" xfId="0" applyFont="1" applyFill="1" applyBorder="1"/>
    <xf numFmtId="1" fontId="0" fillId="10" borderId="15" xfId="0" applyNumberFormat="1" applyFont="1" applyFill="1" applyBorder="1"/>
    <xf numFmtId="2" fontId="0" fillId="10" borderId="16" xfId="0" applyNumberFormat="1" applyFont="1" applyFill="1" applyBorder="1"/>
    <xf numFmtId="164" fontId="0" fillId="10" borderId="16" xfId="0" applyNumberFormat="1" applyFont="1" applyFill="1" applyBorder="1"/>
    <xf numFmtId="0" fontId="0" fillId="10" borderId="16" xfId="0" applyFont="1" applyFill="1" applyBorder="1"/>
    <xf numFmtId="165" fontId="0" fillId="10" borderId="16" xfId="0" applyNumberFormat="1" applyFont="1" applyFill="1" applyBorder="1"/>
    <xf numFmtId="165" fontId="0" fillId="10" borderId="14" xfId="0" applyNumberFormat="1" applyFont="1" applyFill="1" applyBorder="1"/>
    <xf numFmtId="1" fontId="0" fillId="10" borderId="16" xfId="0" applyNumberFormat="1" applyFont="1" applyFill="1" applyBorder="1"/>
    <xf numFmtId="0" fontId="0" fillId="0" borderId="0" xfId="0" applyAlignment="1">
      <alignment wrapText="1"/>
    </xf>
    <xf numFmtId="0" fontId="2" fillId="3" borderId="0" xfId="0" applyFont="1" applyFill="1" applyBorder="1" applyAlignment="1"/>
    <xf numFmtId="164" fontId="0" fillId="0" borderId="1" xfId="0" applyNumberFormat="1" applyFill="1" applyBorder="1"/>
    <xf numFmtId="164" fontId="0" fillId="0" borderId="1" xfId="0" applyNumberFormat="1" applyFill="1" applyBorder="1" applyAlignment="1">
      <alignment wrapText="1"/>
    </xf>
    <xf numFmtId="0" fontId="0" fillId="0" borderId="1" xfId="0" applyBorder="1"/>
    <xf numFmtId="9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Border="1"/>
    <xf numFmtId="0" fontId="3" fillId="0" borderId="1" xfId="0" applyFont="1" applyFill="1" applyBorder="1"/>
    <xf numFmtId="0" fontId="9" fillId="0" borderId="0" xfId="0" applyFont="1"/>
    <xf numFmtId="164" fontId="0" fillId="0" borderId="0" xfId="0" applyNumberForma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0" fillId="8" borderId="0" xfId="0" applyFill="1" applyAlignment="1">
      <alignment horizontal="center" wrapText="1"/>
    </xf>
    <xf numFmtId="0" fontId="7" fillId="11" borderId="7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7" fillId="12" borderId="7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</cellXfs>
  <cellStyles count="1">
    <cellStyle name="Normal" xfId="0" builtinId="0"/>
  </cellStyles>
  <dxfs count="373"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medium">
          <color indexed="6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medium">
          <color indexed="64"/>
        </top>
        <bottom style="thin">
          <color theme="4" tint="0.39997558519241921"/>
        </bottom>
        <vertical/>
        <horizontal/>
      </border>
    </dxf>
    <dxf>
      <border outline="0"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</dxf>
    <dxf>
      <numFmt numFmtId="164" formatCode="0.0"/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0.0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0.0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0.0"/>
    </dxf>
    <dxf>
      <numFmt numFmtId="164" formatCode="0.0"/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0.0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0.0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164" formatCode="0.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72BBFE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72BBFE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72BBFE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7EC234"/>
      <color rgb="FFCC99FF"/>
      <color rgb="FFFFD03B"/>
      <color rgb="FFFF99CC"/>
      <color rgb="FFFF33CC"/>
      <color rgb="FF72BBFE"/>
      <color rgb="FF3FCDFF"/>
      <color rgb="FFC9E0F3"/>
      <color rgb="FFC1DBF1"/>
      <color rgb="FF7CA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902C13-C45D-4F2E-9845-05306B7E8308}" name="Table1" displayName="Table1" ref="A4:AW52" totalsRowShown="0" headerRowDxfId="372" dataDxfId="371" tableBorderDxfId="370">
  <autoFilter ref="A4:AW52" xr:uid="{F6902C13-C45D-4F2E-9845-05306B7E8308}"/>
  <tableColumns count="49">
    <tableColumn id="1" xr3:uid="{46160990-5299-4DFD-805E-F89E9BE1BBA6}" name="Point_ID" dataDxfId="369"/>
    <tableColumn id="2" xr3:uid="{761AA809-E7BA-4F22-A3AD-23E6A39E8F51}" name="Type" dataDxfId="368"/>
    <tableColumn id="3" xr3:uid="{184C3686-D699-4090-A599-44A188E29F14}" name="Stream_dist" dataDxfId="367"/>
    <tableColumn id="4" xr3:uid="{94E573DC-4A48-4237-B14B-E2D30B828DA9}" name="Easting" dataDxfId="366"/>
    <tableColumn id="5" xr3:uid="{99B05575-C93A-4AE5-AE66-C51764817330}" name="Northing" dataDxfId="365"/>
    <tableColumn id="6" xr3:uid="{28132A12-BAC2-4F8E-8179-825015175475}" name="Elevation" dataDxfId="364"/>
    <tableColumn id="7" xr3:uid="{6166F527-ED1E-42AE-8958-019AFBED0926}" name="Road _slope" dataDxfId="363"/>
    <tableColumn id="8" xr3:uid="{EE7F0BB6-7A59-468D-928C-51D06ACCF45D}" name="Bypass_factor" dataDxfId="362"/>
    <tableColumn id="9" xr3:uid="{5FE3EBE8-A23F-4EFD-96CE-DD8C166B2681}" name="Drain_spacing_no_bp" dataDxfId="361"/>
    <tableColumn id="10" xr3:uid="{60688A7F-38B0-485D-90B9-283FD79E8F4C}" name="Blockage_factor" dataDxfId="360"/>
    <tableColumn id="11" xr3:uid="{EA2758AA-A3DD-4284-B231-BA4F143523E9}" name="Drain_spacing_with_bp" dataDxfId="359"/>
    <tableColumn id="12" xr3:uid="{D73C8E47-311B-48AD-B244-221AB08179DB}" name="Road_width" dataDxfId="358"/>
    <tableColumn id="13" xr3:uid="{415ED595-DA02-4DE8-BEED-1DC99D991443}" name="Crowning" dataDxfId="357"/>
    <tableColumn id="14" xr3:uid="{FF4E047A-8D45-43FE-8350-5156F1EC3258}" name="Gully_factor" dataDxfId="356"/>
    <tableColumn id="15" xr3:uid="{B35747DA-165C-4478-9301-1C6BD728DBA3}" name="Drain_slope" dataDxfId="355"/>
    <tableColumn id="16" xr3:uid="{3AE2FFE1-34A7-48CA-A12F-03C62DE8D54E}" name=" F_ax_pw" dataDxfId="354"/>
    <tableColumn id="17" xr3:uid="{E506B26C-0F23-4AE0-A9CA-8B1A644C8C67}" name="rainan_mean" dataDxfId="353"/>
    <tableColumn id="18" xr3:uid="{F94249A4-5CDB-430C-A74B-636CA772E638}" name="30_10aep_mean" dataDxfId="352"/>
    <tableColumn id="19" xr3:uid="{C1AAF3D1-3C68-49CC-98FE-B92B82B51CEF}" name="Drain__x000a_catchment_area" dataDxfId="351">
      <calculatedColumnFormula>IF(H5=1,($K5*$L5)*($M5/100),($I5*$L5)*($M5/100))</calculatedColumnFormula>
    </tableColumn>
    <tableColumn id="20" xr3:uid="{FED2763F-EC89-4918-A2C8-544599F689C5}" name="sl_adj_f" dataDxfId="350">
      <calculatedColumnFormula>(-1.5+6.51)/(1+EXP(0.94-5.3*SIN(RADIANS($G5))))</calculatedColumnFormula>
    </tableColumn>
    <tableColumn id="21" xr3:uid="{3DEFB114-95C7-4BED-9D06-8A5C26A6E4DC}" name="sdel_mgm2" dataDxfId="349">
      <calculatedColumnFormula>2.67*$P5+84.69*T5</calculatedColumnFormula>
    </tableColumn>
    <tableColumn id="22" xr3:uid="{9879B27F-FF35-4B69-9979-4063015FA70A}" name="sdel_mgm2yr" dataDxfId="348">
      <calculatedColumnFormula>U5*$Q5</calculatedColumnFormula>
    </tableColumn>
    <tableColumn id="23" xr3:uid="{AD0A4B1C-EB2F-4537-8D79-CC586E1C5630}" name="sdel_mgHayr " dataDxfId="347">
      <calculatedColumnFormula>V5*(100*100)</calculatedColumnFormula>
    </tableColumn>
    <tableColumn id="24" xr3:uid="{057466A0-4586-404A-B6F4-BED32C949701}" name="sed_del_tHayr " dataDxfId="346">
      <calculatedColumnFormula>W5/(1000*1000*1000)</calculatedColumnFormula>
    </tableColumn>
    <tableColumn id="25" xr3:uid="{AFDF6E0A-6969-428C-AB4D-5995A124F960}" name="Dur_hr" dataDxfId="345">
      <calculatedColumnFormula>0.5</calculatedColumnFormula>
    </tableColumn>
    <tableColumn id="26" xr3:uid="{D3B6FE05-0E9C-4ADA-849E-D78C48260F3C}" name="Infrate_mmhr" dataDxfId="344">
      <calculatedColumnFormula>11.74</calculatedColumnFormula>
    </tableColumn>
    <tableColumn id="27" xr3:uid="{67C2D140-E00C-4EFC-B3BF-EA0064903072}" name="vbt5_meanm3" dataDxfId="343">
      <calculatedColumnFormula>336/1000</calculatedColumnFormula>
    </tableColumn>
    <tableColumn id="28" xr3:uid="{CAE89DD5-A05B-440C-893D-F05F34038731}" name="V_m3" dataDxfId="342">
      <calculatedColumnFormula>((S5)*(R5-Z5)*Y5/1000)</calculatedColumnFormula>
    </tableColumn>
    <tableColumn id="29" xr3:uid="{65F6A740-05C8-4BEA-B847-EB0B9623259A}" name="pmof_rs _d_m3" dataDxfId="341">
      <calculatedColumnFormula>IF(AB5-(C5*AA5/5)&gt;0,AB5-(C5*AA5/5),0)</calculatedColumnFormula>
    </tableColumn>
    <tableColumn id="30" xr3:uid="{844FBBB5-335A-436D-9B0D-C5CB86E21ECD}" name="pmof_rs _g_m3" dataDxfId="340">
      <calculatedColumnFormula>IF((AF5-C5)/AF5*AB5&gt;0,(AF5-C5)/AF5*AB5,0)</calculatedColumnFormula>
    </tableColumn>
    <tableColumn id="31" xr3:uid="{B2D33C93-AF2C-4E8A-8444-28FD23A6AEF4}" name="mpl_ d_m" dataDxfId="339">
      <calculatedColumnFormula>5*AB5/AA5</calculatedColumnFormula>
    </tableColumn>
    <tableColumn id="32" xr3:uid="{9BE1375A-F0AE-45A5-B63B-BFE44838FEBA}" name="mpl_ g_m" dataDxfId="338">
      <calculatedColumnFormula>AE5*3</calculatedColumnFormula>
    </tableColumn>
    <tableColumn id="33" xr3:uid="{31788A9A-F15D-4744-BD1F-DC65871EA671}" name="Gully_pred" dataDxfId="337">
      <calculatedColumnFormula>IFERROR(IF(AJ5&lt;AK5,0,1),"")</calculatedColumnFormula>
    </tableColumn>
    <tableColumn id="34" xr3:uid="{96147201-0C93-4BF6-AC3F-DEDFC52DA28E}" name="Gully_obs" dataDxfId="336">
      <calculatedColumnFormula>N5</calculatedColumnFormula>
    </tableColumn>
    <tableColumn id="35" xr3:uid="{A89160A2-51B2-42EB-83CE-8986904CDE41}" name="slp_deg" dataDxfId="335">
      <calculatedColumnFormula>O5</calculatedColumnFormula>
    </tableColumn>
    <tableColumn id="36" xr3:uid="{7B4D09ED-D33F-4655-A318-1A449E1C69F9}" name="rcont_a_m2" dataDxfId="334">
      <calculatedColumnFormula>S5</calculatedColumnFormula>
    </tableColumn>
    <tableColumn id="37" xr3:uid="{BB0362A6-6302-4B99-8E69-AB9D992788EC}" name="a_thresh_m2" dataDxfId="333">
      <calculatedColumnFormula>IFERROR(70/SIN(RADIANS(AI5)),"")</calculatedColumnFormula>
    </tableColumn>
    <tableColumn id="38" xr3:uid="{FC5FEC67-B67E-4C01-93B9-8788E5A2415A}" name="v_m3_1" dataDxfId="332">
      <calculatedColumnFormula>IF(AH5=1,AD5,AC5)</calculatedColumnFormula>
    </tableColumn>
    <tableColumn id="39" xr3:uid="{0F724ABA-82A4-4446-9B97-56334305C8D0}" name="rsurf_a_ha" dataDxfId="331">
      <calculatedColumnFormula>AJ5/(100*100)</calculatedColumnFormula>
    </tableColumn>
    <tableColumn id="40" xr3:uid="{001D3D19-BD73-419B-9383-31DDE981054E}" name="sed_gen_tyr" dataDxfId="330">
      <calculatedColumnFormula>AM5*X5</calculatedColumnFormula>
    </tableColumn>
    <tableColumn id="41" xr3:uid="{3328A771-35DA-4913-AC72-93F54F826CA3}" name="Sed_gen_gyr" dataDxfId="329">
      <calculatedColumnFormula>AN5*1000*1000</calculatedColumnFormula>
    </tableColumn>
    <tableColumn id="42" xr3:uid="{DD9AD42F-EB07-491F-9E8E-30C41F1ED136}" name="Init_sed_con_gL" dataDxfId="328">
      <calculatedColumnFormula>AO5/(AB5*1000)</calculatedColumnFormula>
    </tableColumn>
    <tableColumn id="43" xr3:uid="{34B264BA-903C-40A0-B5C2-7FDF85F32025}" name="Pct_pl_g " dataDxfId="327">
      <calculatedColumnFormula>$C5/AF5*100</calculatedColumnFormula>
    </tableColumn>
    <tableColumn id="44" xr3:uid="{37AB35B0-2264-4CAE-8448-640B212D5E80}" name="pct_pl_d" dataDxfId="326">
      <calculatedColumnFormula>($C5/AE5)*100</calculatedColumnFormula>
    </tableColumn>
    <tableColumn id="45" xr3:uid="{F913D612-FA9B-44DD-89B8-428C28F16BA1}" name="sed_c_as_g_kgm3" dataDxfId="325">
      <calculatedColumnFormula>AP5*EXP(-0.0156*AQ5)</calculatedColumnFormula>
    </tableColumn>
    <tableColumn id="46" xr3:uid="{4339AFDB-573E-48D3-8CE3-9A09577647A9}" name="sed_c_as_d_kgm3" dataDxfId="324">
      <calculatedColumnFormula>AP5*EXP(-0.0156*AR5)</calculatedColumnFormula>
    </tableColumn>
    <tableColumn id="47" xr3:uid="{3D49F4AC-CCF2-49B0-B8E0-6ABC913ED4D2}" name="sed_del_kg_existing" dataDxfId="323">
      <calculatedColumnFormula>IF(AH5=1,AS5*AD5,AT5*AC5)</calculatedColumnFormula>
    </tableColumn>
    <tableColumn id="48" xr3:uid="{B9F596BD-39D6-4440-98F5-7FAF3D4BFC44}" name="Disp_offset_m" dataDxfId="322">
      <calculatedColumnFormula>IF((C5-AE5)&gt;0,(C5-AE5),0)</calculatedColumnFormula>
    </tableColumn>
    <tableColumn id="49" xr3:uid="{CF80A876-57BF-49A1-BC4D-E8AFAF07C6BC}" name="Gull_offset_m" dataDxfId="321">
      <calculatedColumnFormula>IF((C5-AF5)&gt;0,(C5-AF5),0)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380A9AC-75C7-4C63-9D56-F61E28517867}" name="Table8" displayName="Table8" ref="A11:EL59" totalsRowShown="0" headerRowDxfId="320" dataDxfId="319" tableBorderDxfId="318">
  <autoFilter ref="A11:EL59" xr:uid="{B380A9AC-75C7-4C63-9D56-F61E28517867}"/>
  <tableColumns count="142">
    <tableColumn id="1" xr3:uid="{53797457-94DD-4246-81E4-0B434236AA84}" name="Point_ID" dataDxfId="317"/>
    <tableColumn id="2" xr3:uid="{FE4265F3-038B-4F54-8B5E-333E3EC3BD7C}" name="Type" dataDxfId="316"/>
    <tableColumn id="3" xr3:uid="{A6F028A2-C2CB-4AB5-8C49-2994D783C4E9}" name="Stream_dist" dataDxfId="315"/>
    <tableColumn id="4" xr3:uid="{F099C916-C8AD-4181-8809-26E8CFE0F2B2}" name="Easting" dataDxfId="314"/>
    <tableColumn id="5" xr3:uid="{FEF615B9-F98D-4A44-8087-3EFB350CCAE3}" name="Northing" dataDxfId="313"/>
    <tableColumn id="6" xr3:uid="{C5D873C9-13A6-4D2B-BE7A-1FF2AC218562}" name="Elevation" dataDxfId="312"/>
    <tableColumn id="7" xr3:uid="{B4F9D98F-006D-4E3C-89A1-1879374E69F7}" name="Road _slope" dataDxfId="311"/>
    <tableColumn id="8" xr3:uid="{33BDC2D5-1145-4809-9AC8-B09833085057}" name="Bypass_factor" dataDxfId="310"/>
    <tableColumn id="9" xr3:uid="{D6B4B1DD-A3CB-4BE4-865D-DCCC0FE3E589}" name="Drain_spacing_no_bp" dataDxfId="309"/>
    <tableColumn id="10" xr3:uid="{82114E38-6776-4FE7-8C65-CBFADB747B37}" name="Blockage_factor" dataDxfId="308"/>
    <tableColumn id="11" xr3:uid="{7141A388-64AB-4868-9C5E-F817DFA9BB70}" name="Drain_spacing_with_bp" dataDxfId="307"/>
    <tableColumn id="12" xr3:uid="{9E5F4BEB-72BA-4D15-A624-1BC0CF8C9B0B}" name="Road_width" dataDxfId="306"/>
    <tableColumn id="13" xr3:uid="{1EAFF9E2-DDED-48F0-856A-3796FE027BD1}" name="Crowning" dataDxfId="305"/>
    <tableColumn id="14" xr3:uid="{96B9F2C4-7536-44EC-9479-B0D8EAD8E236}" name="Gully_factor" dataDxfId="304"/>
    <tableColumn id="15" xr3:uid="{1BACED93-B2BC-46A5-967D-3AEE746AE4C9}" name="Drain_slope" dataDxfId="303"/>
    <tableColumn id="16" xr3:uid="{E48A6301-0B31-4BD3-B713-537379F6AA68}" name=" F_ax_pw" dataDxfId="302"/>
    <tableColumn id="17" xr3:uid="{70A44E6E-1956-4F1A-AE94-39748D5BB0B3}" name="rainan_mean" dataDxfId="301"/>
    <tableColumn id="18" xr3:uid="{494735E2-D668-4155-8A44-3A24D038CE98}" name="30_10aep_mean" dataDxfId="300"/>
    <tableColumn id="19" xr3:uid="{076E87EF-0601-4AC2-9FF5-E61E04D1EE26}" name="Drain_catchment_area" dataDxfId="299">
      <calculatedColumnFormula>IF(H12=1,($K12*$L12)*($C$2/100),($I12*$L12)*($C$2/100))</calculatedColumnFormula>
    </tableColumn>
    <tableColumn id="20" xr3:uid="{497B2F6B-1CDC-4875-9FBB-61D038E6558A}" name="sl_adj_f" dataDxfId="298">
      <calculatedColumnFormula>(-1.5+6.51)/(1+EXP(0.94-5.3*SIN(RADIANS($G12))))</calculatedColumnFormula>
    </tableColumn>
    <tableColumn id="21" xr3:uid="{E23E073A-E972-47E4-8B69-3C5194C15B53}" name="sdel_mgm2" dataDxfId="297">
      <calculatedColumnFormula>2.67*$P12+84.69*T12</calculatedColumnFormula>
    </tableColumn>
    <tableColumn id="22" xr3:uid="{4BEF1F8B-FA8D-41D0-AEE1-70C1EAAF05C7}" name="sdel_mgm2yr" dataDxfId="296">
      <calculatedColumnFormula>U12*$Q12</calculatedColumnFormula>
    </tableColumn>
    <tableColumn id="23" xr3:uid="{292A3100-D7A7-4A9D-B901-7A39E21E8956}" name="sdel_mgHayr " dataDxfId="295">
      <calculatedColumnFormula>V12*(100*100)</calculatedColumnFormula>
    </tableColumn>
    <tableColumn id="24" xr3:uid="{A5A2CDC0-0AF3-40AD-9FB1-E64A410E165D}" name="sed_del_tHayr " dataDxfId="294">
      <calculatedColumnFormula>W12/(1000*1000*1000)</calculatedColumnFormula>
    </tableColumn>
    <tableColumn id="25" xr3:uid="{F3D23A09-5D45-431A-A2A1-346E6E682A17}" name="Dur_hr" dataDxfId="293">
      <calculatedColumnFormula>0.5</calculatedColumnFormula>
    </tableColumn>
    <tableColumn id="26" xr3:uid="{A79A2B0D-72CC-4F34-BAEE-64C6C2432B22}" name="Infrate_mmhr" dataDxfId="292">
      <calculatedColumnFormula>11.74</calculatedColumnFormula>
    </tableColumn>
    <tableColumn id="27" xr3:uid="{B6D00FAD-F251-42B3-8E07-5583BB867EDC}" name="vbt5_meanm3" dataDxfId="291">
      <calculatedColumnFormula>336/1000</calculatedColumnFormula>
    </tableColumn>
    <tableColumn id="28" xr3:uid="{DD687BB5-AE01-41F0-97D8-200251412871}" name="V_m3" dataDxfId="290">
      <calculatedColumnFormula>(($S12)*($R12-Z12)*Y12/1000)</calculatedColumnFormula>
    </tableColumn>
    <tableColumn id="29" xr3:uid="{0F813198-E70C-4C4D-8432-0BA5347EA96A}" name="pmof_rs _d_m3" dataDxfId="289">
      <calculatedColumnFormula>IF(AB12-($C12*AA12/5)&gt;0,AB12-($C12*AA12/5),0)</calculatedColumnFormula>
    </tableColumn>
    <tableColumn id="30" xr3:uid="{4B936F17-C36B-4A9B-A4E6-2552EFFBAA2B}" name="pmof_rs _g_m3" dataDxfId="288">
      <calculatedColumnFormula>IF((AF12-$C12)/AF12*AB12&gt;0,(AF12-$C12)/AF12*AB12,0)</calculatedColumnFormula>
    </tableColumn>
    <tableColumn id="31" xr3:uid="{69B1877B-319F-43E8-BD5D-3242998E3CA4}" name="mpl_ d_m" dataDxfId="287">
      <calculatedColumnFormula>5*AB12/AA12</calculatedColumnFormula>
    </tableColumn>
    <tableColumn id="32" xr3:uid="{F85B2211-8AFB-4FDC-A13A-7D184466B68D}" name="mpl_ g_m" dataDxfId="286">
      <calculatedColumnFormula>AE12*3</calculatedColumnFormula>
    </tableColumn>
    <tableColumn id="33" xr3:uid="{BA0C324F-6913-4520-9CAC-3C809BB49F2C}" name="Gully_pred" dataDxfId="285">
      <calculatedColumnFormula>IFERROR(IF(AJ12&lt;AK12,0,1),"")</calculatedColumnFormula>
    </tableColumn>
    <tableColumn id="34" xr3:uid="{670DC5E7-CCB8-4687-B0D1-861831515FDF}" name="Gully_obs" dataDxfId="284">
      <calculatedColumnFormula>$N12</calculatedColumnFormula>
    </tableColumn>
    <tableColumn id="35" xr3:uid="{29A09308-C8A9-4D35-B68A-670BE4E99652}" name="slp_deg" dataDxfId="283">
      <calculatedColumnFormula>$O12</calculatedColumnFormula>
    </tableColumn>
    <tableColumn id="36" xr3:uid="{7E216DAB-5E41-4CF7-AB8E-454638DD9C70}" name="rcont_a_m2" dataDxfId="282">
      <calculatedColumnFormula>S12</calculatedColumnFormula>
    </tableColumn>
    <tableColumn id="37" xr3:uid="{38A1A0A2-2E4C-4E95-88CE-90ADC97A05A4}" name="a_thresh_m2" dataDxfId="281">
      <calculatedColumnFormula>IFERROR(70/SIN(RADIANS(AI12)),"")</calculatedColumnFormula>
    </tableColumn>
    <tableColumn id="38" xr3:uid="{4695EC2A-372D-43B8-BEFE-C4011AB606DD}" name="v_m3_1" dataDxfId="280">
      <calculatedColumnFormula>IF(AH12=1,AD12,AC12)</calculatedColumnFormula>
    </tableColumn>
    <tableColumn id="39" xr3:uid="{568EA762-52B1-4073-8F24-66D6507115E8}" name="rsurf_a_ha" dataDxfId="279">
      <calculatedColumnFormula>AJ12/(100*100)</calculatedColumnFormula>
    </tableColumn>
    <tableColumn id="40" xr3:uid="{32057F28-D255-4EF8-90B9-3CC8AF9C753F}" name="sed_gen_tyr" dataDxfId="278">
      <calculatedColumnFormula>AM12*X12</calculatedColumnFormula>
    </tableColumn>
    <tableColumn id="41" xr3:uid="{7ECE4DE9-B368-4C4E-92E9-B954922F31D1}" name="Sed_gen_gyr" dataDxfId="277">
      <calculatedColumnFormula>AN12*1000*1000</calculatedColumnFormula>
    </tableColumn>
    <tableColumn id="42" xr3:uid="{4E11EBAE-513E-4669-84D5-6D5E243A8289}" name="Init_sed_con_gL" dataDxfId="276">
      <calculatedColumnFormula>AO12/(AB12*1000)</calculatedColumnFormula>
    </tableColumn>
    <tableColumn id="43" xr3:uid="{11AE875E-6396-483B-ABF6-469FA0A5E015}" name="Pct_pl_g " dataDxfId="275">
      <calculatedColumnFormula>$C12/AF12*100</calculatedColumnFormula>
    </tableColumn>
    <tableColumn id="44" xr3:uid="{D48BC0CA-13ED-45A9-ABA4-3AB047AB396A}" name="pct_pl_d" dataDxfId="274">
      <calculatedColumnFormula>($C12/AE12)*100</calculatedColumnFormula>
    </tableColumn>
    <tableColumn id="45" xr3:uid="{5D2A9A99-3FC7-420C-A655-79F5269D94D4}" name="sed_c_as_g_kgm3" dataDxfId="273">
      <calculatedColumnFormula>AP12*EXP(-0.0156*AQ12)</calculatedColumnFormula>
    </tableColumn>
    <tableColumn id="46" xr3:uid="{6D73E23E-7B67-444E-99C7-72E6EB9CB357}" name="sed_c_as_d_kgm3" dataDxfId="272">
      <calculatedColumnFormula>AP12*EXP(-0.0156*AR12)</calculatedColumnFormula>
    </tableColumn>
    <tableColumn id="47" xr3:uid="{8D2F5F44-1CF0-4EE0-84B1-9C2BF797CB2C}" name="sed_del_kg_catch25" dataDxfId="271">
      <calculatedColumnFormula>IF(AH12=1,AS12*AD12,AT12*AC12)</calculatedColumnFormula>
    </tableColumn>
    <tableColumn id="48" xr3:uid="{1F514C79-A8F7-4947-AAEA-78C43DC24633}" name="Disp_offset_m" dataDxfId="270">
      <calculatedColumnFormula>IF(($C12-AE12)&gt;0,($C12-AE12),0)</calculatedColumnFormula>
    </tableColumn>
    <tableColumn id="49" xr3:uid="{09735E90-9827-4003-B8ED-9ACE00A27DE9}" name="Gull_offset_m" dataDxfId="269">
      <calculatedColumnFormula>IF(($C12-AF12)&gt;0,($C12-AF12),0)</calculatedColumnFormula>
    </tableColumn>
    <tableColumn id="50" xr3:uid="{0C0E98F2-1477-422B-BFB3-E66E7B9D83E8}" name="Drain__x000a_catchment_area2" dataDxfId="268">
      <calculatedColumnFormula>IF(H12=1,($K12*$L12)*($C$3/100),($I12*$L12)*($C$3/100))</calculatedColumnFormula>
    </tableColumn>
    <tableColumn id="51" xr3:uid="{8A1CD96F-A242-4B78-A34B-488F22D384DF}" name="sl_adj_f3" dataDxfId="267">
      <calculatedColumnFormula>(-1.5+6.51)/(1+EXP(0.94-5.3*SIN(RADIANS($G12))))</calculatedColumnFormula>
    </tableColumn>
    <tableColumn id="52" xr3:uid="{AB6A872C-214C-4558-AF94-5DD26C544858}" name="sdel_mgm24" dataDxfId="266">
      <calculatedColumnFormula>2.67*$P12+84.69*AY12</calculatedColumnFormula>
    </tableColumn>
    <tableColumn id="53" xr3:uid="{032C5A9D-FF72-4106-9649-292036760F2A}" name="sdel_mgm2yr5" dataDxfId="265">
      <calculatedColumnFormula>AZ12*$Q12</calculatedColumnFormula>
    </tableColumn>
    <tableColumn id="54" xr3:uid="{9EC75729-7DBD-4131-89E1-DD533DC195CC}" name="sdel_mgHayr 6" dataDxfId="264">
      <calculatedColumnFormula>BA12*(100*100)</calculatedColumnFormula>
    </tableColumn>
    <tableColumn id="55" xr3:uid="{91180DDB-4667-4171-B951-BD48B23A5958}" name="sed_del_tHayr 7" dataDxfId="263">
      <calculatedColumnFormula>BB12/(1000*1000*1000)</calculatedColumnFormula>
    </tableColumn>
    <tableColumn id="56" xr3:uid="{139F7A36-6F52-4502-A105-6D8EE26546D9}" name="Dur_hr8" dataDxfId="262">
      <calculatedColumnFormula>0.5</calculatedColumnFormula>
    </tableColumn>
    <tableColumn id="57" xr3:uid="{86EB6E7E-08F6-4E84-972C-54CCDE513255}" name="Infrate_mmhr9" dataDxfId="261">
      <calculatedColumnFormula>11.74</calculatedColumnFormula>
    </tableColumn>
    <tableColumn id="58" xr3:uid="{1D580263-5B20-4F21-AE12-711CD591B79E}" name="vbt5_meanm310" dataDxfId="260">
      <calculatedColumnFormula>336/1000</calculatedColumnFormula>
    </tableColumn>
    <tableColumn id="59" xr3:uid="{76052FBA-5E21-422D-B5FE-8E218F63F722}" name="V_m311" dataDxfId="259">
      <calculatedColumnFormula>(($AX12)*($R12-BE12)*BD12/1000)</calculatedColumnFormula>
    </tableColumn>
    <tableColumn id="60" xr3:uid="{65893A30-485A-4D2F-92F2-1E402923B223}" name="pmof_rs _d_m312" dataDxfId="258">
      <calculatedColumnFormula>IF(BG12-($C12*BF12/5)&gt;0,BG12-($C12*BF12/5),0)</calculatedColumnFormula>
    </tableColumn>
    <tableColumn id="61" xr3:uid="{00E8A48C-6CB4-4A1B-9C15-D5069E0D1690}" name="pmof_rs _g_m313" dataDxfId="257">
      <calculatedColumnFormula>IF((BK12-$C12)/BK12*BG12&gt;0,(BK12-$C12)/BK12*BG12,0)</calculatedColumnFormula>
    </tableColumn>
    <tableColumn id="62" xr3:uid="{2B8FF755-C79C-4163-B3E5-4E7E7B57E2C8}" name="mpl_ d_m14" dataDxfId="256">
      <calculatedColumnFormula>5*BG12/BF12</calculatedColumnFormula>
    </tableColumn>
    <tableColumn id="63" xr3:uid="{9CBE5D24-D8DB-444E-9416-74D57B47F5A8}" name="mpl_ g_m15" dataDxfId="255">
      <calculatedColumnFormula>BJ12*3</calculatedColumnFormula>
    </tableColumn>
    <tableColumn id="64" xr3:uid="{0C1664D6-9330-4186-9278-3CADA5638CC7}" name="Gully_pred16" dataDxfId="254">
      <calculatedColumnFormula>IFERROR(IF(BO12&lt;BP12,0,1),"")</calculatedColumnFormula>
    </tableColumn>
    <tableColumn id="65" xr3:uid="{4429697F-E9EA-4E07-9DDF-8ADD61B8D113}" name="Gully_obs17" dataDxfId="253">
      <calculatedColumnFormula>$N12</calculatedColumnFormula>
    </tableColumn>
    <tableColumn id="66" xr3:uid="{2030F2A0-0AD3-4C71-8FE5-6A2076441B29}" name="slp_deg18" dataDxfId="252">
      <calculatedColumnFormula>$O12</calculatedColumnFormula>
    </tableColumn>
    <tableColumn id="67" xr3:uid="{21F44532-4D5C-4186-B5AF-DE7AE1F84832}" name="rcont_a_m219" dataDxfId="251">
      <calculatedColumnFormula>$AX12</calculatedColumnFormula>
    </tableColumn>
    <tableColumn id="68" xr3:uid="{AC5F4848-6111-4E91-9A54-46F3F6D46574}" name="a_thresh_m220" dataDxfId="250">
      <calculatedColumnFormula>IFERROR(70/SIN(RADIANS(BN12)),"")</calculatedColumnFormula>
    </tableColumn>
    <tableColumn id="69" xr3:uid="{5FD731E1-3B27-4F17-B986-8C33F8EC904F}" name="v_m3_121" dataDxfId="249">
      <calculatedColumnFormula>IF(BM12=1,BI12,BH12)</calculatedColumnFormula>
    </tableColumn>
    <tableColumn id="70" xr3:uid="{02BC448C-F91B-43DE-97DB-32094DEE0CBF}" name="rsurf_a_ha22" dataDxfId="248">
      <calculatedColumnFormula>BO12/(100*100)</calculatedColumnFormula>
    </tableColumn>
    <tableColumn id="71" xr3:uid="{6FAB2B1E-0C5B-4B0B-ABE1-474FF602B159}" name="sed_gen_tyr23" dataDxfId="247">
      <calculatedColumnFormula>BR12*BC12</calculatedColumnFormula>
    </tableColumn>
    <tableColumn id="72" xr3:uid="{20F2276C-5DF5-41AF-A651-C1EDA73F6CAE}" name="Sed_gen_gyr24" dataDxfId="246">
      <calculatedColumnFormula>BS12*1000*1000</calculatedColumnFormula>
    </tableColumn>
    <tableColumn id="73" xr3:uid="{A085F295-0DD8-485F-83B7-2B5523A3006B}" name="Init_sed_con_gL25" dataDxfId="245">
      <calculatedColumnFormula>BT12/(BG12*1000)</calculatedColumnFormula>
    </tableColumn>
    <tableColumn id="74" xr3:uid="{8B82F187-D7E7-48F1-8437-0774436097FC}" name="Pct_pl_g 26" dataDxfId="244">
      <calculatedColumnFormula>$C12/BK12*100</calculatedColumnFormula>
    </tableColumn>
    <tableColumn id="75" xr3:uid="{2D8AFBDF-DE1A-49CD-B63A-B48B64468188}" name="pct_pl_d27" dataDxfId="243">
      <calculatedColumnFormula>($C12/BJ12)*100</calculatedColumnFormula>
    </tableColumn>
    <tableColumn id="76" xr3:uid="{9C07079B-23E1-40D9-A8BE-D63E79698F93}" name="sed_c_as_g_kgm328" dataDxfId="242">
      <calculatedColumnFormula>BU12*EXP(-0.0156*BV12)</calculatedColumnFormula>
    </tableColumn>
    <tableColumn id="77" xr3:uid="{14A4A98F-BB9E-40CD-BCAD-86BEA733DA2F}" name="sed_c_as_d_kgm329" dataDxfId="241">
      <calculatedColumnFormula>BU12*EXP(-0.0156*BW12)</calculatedColumnFormula>
    </tableColumn>
    <tableColumn id="78" xr3:uid="{83DDB5FA-96BA-4506-80E1-8EE95F7C50EE}" name="sed_del_kg_catch50" dataDxfId="240">
      <calculatedColumnFormula>IF(BM12=1,BX12*BI12,BY12*BH12)</calculatedColumnFormula>
    </tableColumn>
    <tableColumn id="79" xr3:uid="{8AE91BA4-6FD2-4032-80E3-6CB0D81101A8}" name="Disp_offset_m31" dataDxfId="239">
      <calculatedColumnFormula>IF(($C12-BJ12)&gt;0,($C12-BJ12),0)</calculatedColumnFormula>
    </tableColumn>
    <tableColumn id="80" xr3:uid="{0ECC5ED0-7B6A-45DB-B221-93FC7BDE9C6F}" name="Gull_offset_m32" dataDxfId="238">
      <calculatedColumnFormula>IF(($C12-BK12)&gt;0,($C12-BK12),0)</calculatedColumnFormula>
    </tableColumn>
    <tableColumn id="81" xr3:uid="{E874C3AF-8AE9-4760-9B0F-F4ACCFE5AF8C}" name="Drain__x000a_catchment_area33" dataDxfId="237">
      <calculatedColumnFormula>IF(H12=1,($K12*$L12)*($C$4/100),($I12*$L12)*($C$4/100))</calculatedColumnFormula>
    </tableColumn>
    <tableColumn id="82" xr3:uid="{EF4422E0-7911-4675-ABE0-90E2E07B67AA}" name="sl_adj_f34" dataDxfId="236">
      <calculatedColumnFormula>(-1.5+6.51)/(1+EXP(0.94-5.3*SIN(RADIANS($G12))))</calculatedColumnFormula>
    </tableColumn>
    <tableColumn id="83" xr3:uid="{79F2D21D-BD64-416E-9DEA-6F0443EBBB14}" name="sdel_mgm235" dataDxfId="235">
      <calculatedColumnFormula>2.67*$P12+84.69*CD12</calculatedColumnFormula>
    </tableColumn>
    <tableColumn id="84" xr3:uid="{8B88CBAC-A014-4235-80AE-062A6B8604E7}" name="sdel_mgm2yr36" dataDxfId="234">
      <calculatedColumnFormula>CE12*$Q12</calculatedColumnFormula>
    </tableColumn>
    <tableColumn id="85" xr3:uid="{DEBCFB2F-4B0B-4819-81A2-F1267CEAAEAF}" name="sdel_mgHayr 37" dataDxfId="233">
      <calculatedColumnFormula>CF12*(100*100)</calculatedColumnFormula>
    </tableColumn>
    <tableColumn id="86" xr3:uid="{5AD19C25-4782-440E-855B-6ADF3632AE7E}" name="sed_del_tHayr 38" dataDxfId="232">
      <calculatedColumnFormula>CG12/(1000*1000*1000)</calculatedColumnFormula>
    </tableColumn>
    <tableColumn id="87" xr3:uid="{5890921C-320C-499E-8956-91D943B28BCB}" name="Dur_hr39" dataDxfId="231">
      <calculatedColumnFormula>0.5</calculatedColumnFormula>
    </tableColumn>
    <tableColumn id="88" xr3:uid="{0B0EDA74-8BF5-4D2D-B526-5FB8ADC6BBE1}" name="Infrate_mmhr40" dataDxfId="230">
      <calculatedColumnFormula>11.74</calculatedColumnFormula>
    </tableColumn>
    <tableColumn id="89" xr3:uid="{B8215140-8C98-4CC3-9B3F-0C23ACAE6614}" name="vbt5_meanm341" dataDxfId="229">
      <calculatedColumnFormula>336/1000</calculatedColumnFormula>
    </tableColumn>
    <tableColumn id="90" xr3:uid="{1AECF2CE-CEE0-4ECA-9E4D-F43FD3208D19}" name="V_m342" dataDxfId="228">
      <calculatedColumnFormula>(($CC12)*($R12-CJ12)*CI12/1000)</calculatedColumnFormula>
    </tableColumn>
    <tableColumn id="91" xr3:uid="{581440D5-D9E2-4E00-B523-1D47786836F0}" name="pmof_rs _d_m343" dataDxfId="227">
      <calculatedColumnFormula>IF(CL12-($C12*CK12/5)&gt;0,CL12-($C12*CK12/5),0)</calculatedColumnFormula>
    </tableColumn>
    <tableColumn id="92" xr3:uid="{A62DAA7D-8A43-4D4A-AE91-91C928A576A0}" name="pmof_rs _g_m344" dataDxfId="226">
      <calculatedColumnFormula>IF((CP12-$C12)/CP12*CL12&gt;0,(CP12-$C12)/CP12*CL12,0)</calculatedColumnFormula>
    </tableColumn>
    <tableColumn id="93" xr3:uid="{4A880805-D3E5-4790-9A42-030BB0C7711F}" name="mpl_ d_m45" dataDxfId="225">
      <calculatedColumnFormula>5*CL12/CK12</calculatedColumnFormula>
    </tableColumn>
    <tableColumn id="94" xr3:uid="{5B3A5B19-A537-4A23-A0F8-61E715DC613A}" name="mpl_ g_m46" dataDxfId="224">
      <calculatedColumnFormula>CO12*3</calculatedColumnFormula>
    </tableColumn>
    <tableColumn id="95" xr3:uid="{A3C6F8A9-329A-4452-B9A2-E4072E09EE56}" name="Gully_pred47" dataDxfId="223">
      <calculatedColumnFormula>IFERROR(IF(CT12&lt;CU12,0,1),"")</calculatedColumnFormula>
    </tableColumn>
    <tableColumn id="96" xr3:uid="{C2208BE7-CE4F-40FC-93F8-3B46737F2EBA}" name="Gully_obs48" dataDxfId="222">
      <calculatedColumnFormula>$N12</calculatedColumnFormula>
    </tableColumn>
    <tableColumn id="97" xr3:uid="{D5C6893A-28E1-4069-83F2-3A570D8E336F}" name="slp_deg49" dataDxfId="221">
      <calculatedColumnFormula>$O12</calculatedColumnFormula>
    </tableColumn>
    <tableColumn id="98" xr3:uid="{6033E134-2AA8-4A8D-8F91-B2C1F7065A65}" name="rcont_a_m250" dataDxfId="220">
      <calculatedColumnFormula>$CC12</calculatedColumnFormula>
    </tableColumn>
    <tableColumn id="99" xr3:uid="{194B5615-4649-4DC2-952F-DD94FE975161}" name="a_thresh_m251" dataDxfId="219">
      <calculatedColumnFormula>IFERROR(70/SIN(RADIANS(CS12)),"")</calculatedColumnFormula>
    </tableColumn>
    <tableColumn id="100" xr3:uid="{C039B7B6-44BD-4D40-B28B-C69FC5BCD731}" name="v_m3_152" dataDxfId="218">
      <calculatedColumnFormula>IF(CR12=1,CN12,CM12)</calculatedColumnFormula>
    </tableColumn>
    <tableColumn id="101" xr3:uid="{CD6DE459-0536-4086-AFAE-9FD688D17738}" name="rsurf_a_ha53" dataDxfId="217">
      <calculatedColumnFormula>CT12/(100*100)</calculatedColumnFormula>
    </tableColumn>
    <tableColumn id="102" xr3:uid="{BC8075AB-81DA-4A61-89E7-BE095EF8A115}" name="sed_gen_tyr54" dataDxfId="216">
      <calculatedColumnFormula>CW12*CH12</calculatedColumnFormula>
    </tableColumn>
    <tableColumn id="103" xr3:uid="{1C5C331E-4B90-4D13-A9EC-2FDCE98752D7}" name="Sed_gen_gyr55" dataDxfId="215">
      <calculatedColumnFormula>CX12*1000*1000</calculatedColumnFormula>
    </tableColumn>
    <tableColumn id="104" xr3:uid="{1149F20D-05CC-4148-92EF-A08B00675D90}" name="Init_sed_con_gL56" dataDxfId="214">
      <calculatedColumnFormula>CY12/(CL12*1000)</calculatedColumnFormula>
    </tableColumn>
    <tableColumn id="105" xr3:uid="{BED8568E-F5C9-4064-91F8-3EEC1C6D6513}" name="Pct_pl_g 57" dataDxfId="213">
      <calculatedColumnFormula>$C12/CP12*100</calculatedColumnFormula>
    </tableColumn>
    <tableColumn id="106" xr3:uid="{22B73B45-2A60-4D1E-8A84-4C0410FA10C5}" name="pct_pl_d58" dataDxfId="212">
      <calculatedColumnFormula>($C12/CO12)*100</calculatedColumnFormula>
    </tableColumn>
    <tableColumn id="107" xr3:uid="{75E42162-A2A4-4323-9DF4-7870B0C2D2C0}" name="sed_c_as_g_kgm359" dataDxfId="211">
      <calculatedColumnFormula>CZ12*EXP(-0.0156*DA12)</calculatedColumnFormula>
    </tableColumn>
    <tableColumn id="108" xr3:uid="{FE31ECEF-B4AE-4399-A8DD-DCC90B634811}" name="sed_c_as_d_kgm360" dataDxfId="210">
      <calculatedColumnFormula>CZ12*EXP(-0.0156*DB12)</calculatedColumnFormula>
    </tableColumn>
    <tableColumn id="109" xr3:uid="{9736A1ED-0565-4294-B914-72AAB87EC9FA}" name="sed_del_kg_catch75" dataDxfId="209">
      <calculatedColumnFormula>IF(CR12=1,DC12*CN12,DD12*CM12)</calculatedColumnFormula>
    </tableColumn>
    <tableColumn id="110" xr3:uid="{757D3562-5BF8-423C-BD5C-65C7187D2B97}" name="Disp_offset_m62" dataDxfId="208">
      <calculatedColumnFormula>IF(($C12-CO12)&gt;0,($C12-CO12),0)</calculatedColumnFormula>
    </tableColumn>
    <tableColumn id="111" xr3:uid="{64C9D89E-FA35-4517-91C1-77975C652860}" name="Gull_offset_m63" dataDxfId="207">
      <calculatedColumnFormula>IF(($C12-CP12)&gt;0,($C12-CP12),0)</calculatedColumnFormula>
    </tableColumn>
    <tableColumn id="112" xr3:uid="{46AB61AB-FF29-4942-BCC4-B157F62C7483}" name="Drain__x000a_catchment_area64" dataDxfId="206">
      <calculatedColumnFormula>IF(H12=1,($K12*$L12)*($C$5/100),($I12*$L12)*($C$5/100))</calculatedColumnFormula>
    </tableColumn>
    <tableColumn id="113" xr3:uid="{A9CB2971-43A0-4F89-AC18-F65243AC09BB}" name="sl_adj_f65" dataDxfId="205">
      <calculatedColumnFormula>(-1.5+6.51)/(1+EXP(0.94-5.3*SIN(RADIANS($G12))))</calculatedColumnFormula>
    </tableColumn>
    <tableColumn id="114" xr3:uid="{A993C4C7-3480-4DA1-9556-6135695BBE42}" name="sdel_mgm266" dataDxfId="204">
      <calculatedColumnFormula>2.67*$P12+84.69*DI12</calculatedColumnFormula>
    </tableColumn>
    <tableColumn id="115" xr3:uid="{861D2758-8360-4340-98F5-770B9AA6BCA8}" name="sdel_mgm2yr67" dataDxfId="203">
      <calculatedColumnFormula>DJ12*$Q12</calculatedColumnFormula>
    </tableColumn>
    <tableColumn id="116" xr3:uid="{CC5C38C4-ECDE-4EA2-BF5B-C9D93EA9E689}" name="sdel_mgHayr 68" dataDxfId="202">
      <calculatedColumnFormula>DK12*(100*100)</calculatedColumnFormula>
    </tableColumn>
    <tableColumn id="117" xr3:uid="{DF5F88B0-E3C7-4A73-B4EE-0E5246E35677}" name="sed_del_tHayr 69" dataDxfId="201">
      <calculatedColumnFormula>DL12/(1000*1000*1000)</calculatedColumnFormula>
    </tableColumn>
    <tableColumn id="118" xr3:uid="{FE10E1F0-8045-4F64-B40D-E00F1CE778E4}" name="Dur_hr70" dataDxfId="200">
      <calculatedColumnFormula>0.5</calculatedColumnFormula>
    </tableColumn>
    <tableColumn id="119" xr3:uid="{1AD4F76E-80E6-4763-A617-FE26932475A6}" name="Infrate_mmhr71" dataDxfId="199">
      <calculatedColumnFormula>11.74</calculatedColumnFormula>
    </tableColumn>
    <tableColumn id="120" xr3:uid="{8CA41DAF-6F7B-48A9-A317-9162CCCF45FA}" name="vbt5_meanm372" dataDxfId="198">
      <calculatedColumnFormula>336/1000</calculatedColumnFormula>
    </tableColumn>
    <tableColumn id="121" xr3:uid="{362BFC96-16DA-4AC7-89F7-B521D0AFC3D7}" name="V_m373" dataDxfId="197">
      <calculatedColumnFormula>(($DH12)*($R12-DO12)*DN12/1000)</calculatedColumnFormula>
    </tableColumn>
    <tableColumn id="122" xr3:uid="{849DB72C-18F4-40DB-A855-A28A488BC49A}" name="pmof_rs _d_m374" dataDxfId="196">
      <calculatedColumnFormula>IF(DQ12-($C12*DP12/5)&gt;0,DQ12-($C12*DP12/5),0)</calculatedColumnFormula>
    </tableColumn>
    <tableColumn id="123" xr3:uid="{84489A14-BFC0-4146-BBEE-9535057886CB}" name="pmof_rs _g_m375" dataDxfId="195">
      <calculatedColumnFormula>IF((DU12-$C12)/DU12*DQ12&gt;0,(DU12-$C12)/DU12*DQ12,0)</calculatedColumnFormula>
    </tableColumn>
    <tableColumn id="124" xr3:uid="{2B9588DE-AC28-4740-8253-C7371E0205AC}" name="mpl_ d_m76" dataDxfId="194">
      <calculatedColumnFormula>5*DQ12/DP12</calculatedColumnFormula>
    </tableColumn>
    <tableColumn id="125" xr3:uid="{C4A9F499-918E-4FDB-BFFF-606BBB975C2D}" name="mpl_ g_m77" dataDxfId="193">
      <calculatedColumnFormula>DT12*3</calculatedColumnFormula>
    </tableColumn>
    <tableColumn id="126" xr3:uid="{AFC6E38E-3236-44DC-B6F4-28978D333E4C}" name="Gully_pred78" dataDxfId="192">
      <calculatedColumnFormula>IFERROR(IF(DY12&lt;DZ12,0,1),"")</calculatedColumnFormula>
    </tableColumn>
    <tableColumn id="127" xr3:uid="{2DA4E5A3-AD47-4D08-B2D2-0F287678D007}" name="Gully_obs79" dataDxfId="191">
      <calculatedColumnFormula>$N12</calculatedColumnFormula>
    </tableColumn>
    <tableColumn id="128" xr3:uid="{A30D74CA-D49E-4C5C-9C1E-150D7C7D8BD6}" name="slp_deg80" dataDxfId="190">
      <calculatedColumnFormula>$O12</calculatedColumnFormula>
    </tableColumn>
    <tableColumn id="129" xr3:uid="{DAA07A2E-EAB5-47BF-8A17-D7E35E2F36DD}" name="rcont_a_m281" dataDxfId="189">
      <calculatedColumnFormula>$DH12</calculatedColumnFormula>
    </tableColumn>
    <tableColumn id="130" xr3:uid="{3CDBB7D7-66BA-4E08-BE4D-4AE73CABD923}" name="a_thresh_m282" dataDxfId="188">
      <calculatedColumnFormula>IFERROR(70/SIN(RADIANS(DX12)),"")</calculatedColumnFormula>
    </tableColumn>
    <tableColumn id="131" xr3:uid="{C6D21130-FC2F-475D-B500-2664445A9083}" name="v_m3_183" dataDxfId="187">
      <calculatedColumnFormula>IF(DW12=1,DS12,DR12)</calculatedColumnFormula>
    </tableColumn>
    <tableColumn id="132" xr3:uid="{D0D79D51-B1F3-4334-9651-04CF9B2E3B14}" name="rsurf_a_ha84" dataDxfId="186">
      <calculatedColumnFormula>DY12/(100*100)</calculatedColumnFormula>
    </tableColumn>
    <tableColumn id="133" xr3:uid="{6682466C-4E60-4EF0-B3D3-6F7F7DFD537C}" name="sed_gen_tyr85" dataDxfId="185">
      <calculatedColumnFormula>EB12*DM12</calculatedColumnFormula>
    </tableColumn>
    <tableColumn id="134" xr3:uid="{74EA6339-4275-4220-B740-93256F7A4A27}" name="Sed_gen_gyr86" dataDxfId="184">
      <calculatedColumnFormula>EC12*1000*1000</calculatedColumnFormula>
    </tableColumn>
    <tableColumn id="135" xr3:uid="{9C11257B-4098-47AE-A85A-4DCF61A43637}" name="Init_sed_con_gL87" dataDxfId="183">
      <calculatedColumnFormula>ED12/(DQ12*1000)</calculatedColumnFormula>
    </tableColumn>
    <tableColumn id="136" xr3:uid="{D36F645E-6A51-41B6-88A8-6A595633F97D}" name="Pct_pl_g 88" dataDxfId="182">
      <calculatedColumnFormula>$C12/DU12*100</calculatedColumnFormula>
    </tableColumn>
    <tableColumn id="137" xr3:uid="{FDF11147-BA96-494C-9368-39DED695330B}" name="pct_pl_d89" dataDxfId="181">
      <calculatedColumnFormula>($C12/DT12)*100</calculatedColumnFormula>
    </tableColumn>
    <tableColumn id="138" xr3:uid="{1E12211D-E667-435D-8DE4-A71EC4A9CDA7}" name="sed_c_as_g_kgm390" dataDxfId="180">
      <calculatedColumnFormula>EE12*EXP(-0.0156*EF12)</calculatedColumnFormula>
    </tableColumn>
    <tableColumn id="139" xr3:uid="{49F61A64-A1B9-4784-832F-B1783EE91621}" name="sed_c_as_d_kgm391" dataDxfId="179">
      <calculatedColumnFormula>EE12*EXP(-0.0156*EG12)</calculatedColumnFormula>
    </tableColumn>
    <tableColumn id="140" xr3:uid="{C3DC7FEC-1632-4595-928D-D7E6FF5020E8}" name="sed_del_kg92" dataDxfId="178">
      <calculatedColumnFormula>IF(DW12=1,EH12*DS12,EI12*DR12)</calculatedColumnFormula>
    </tableColumn>
    <tableColumn id="141" xr3:uid="{9DB02D1F-3CDA-4B24-9EC5-4BB3A2A46B40}" name="Disp_offset_m93" dataDxfId="177">
      <calculatedColumnFormula>IF(($C12-DT12)&gt;0,($C12-DT12),0)</calculatedColumnFormula>
    </tableColumn>
    <tableColumn id="142" xr3:uid="{2EA3CFC4-4759-476F-AB8F-C5168B7438D4}" name="Gull_offset_m94" dataDxfId="176">
      <calculatedColumnFormula>IF(($C12-DU12)&gt;0,($C12-DU12),0)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3D6D5C-A50C-43C0-8236-A30A247890AE}" name="Table4" displayName="Table4" ref="A4:CE52" totalsRowShown="0" headerRowDxfId="175" dataDxfId="174">
  <autoFilter ref="A4:CE52" xr:uid="{133D6D5C-A50C-43C0-8236-A30A247890AE}"/>
  <tableColumns count="83">
    <tableColumn id="1" xr3:uid="{538C3679-B66F-407A-9CFD-F52CE34D8A3A}" name="Point_ID"/>
    <tableColumn id="2" xr3:uid="{371A8A74-C8B0-48AE-B8D5-2DE1720792D7}" name="Type"/>
    <tableColumn id="3" xr3:uid="{BF92E469-0A46-4AAB-9DC4-B0DA4201B9BC}" name="Stream_dist"/>
    <tableColumn id="4" xr3:uid="{56C29D69-4C46-4915-8392-ED9656479D5C}" name="Easting"/>
    <tableColumn id="5" xr3:uid="{5F7D1BE5-68B0-4F5B-9679-828EFE66697B}" name="Northing"/>
    <tableColumn id="6" xr3:uid="{6DD181A8-1620-4F91-B500-AD9A41D69289}" name="Elevation"/>
    <tableColumn id="7" xr3:uid="{60FFFF85-B005-4D1D-B3FE-B4410BE747DB}" name="Road _slope"/>
    <tableColumn id="8" xr3:uid="{8F23B00B-BCA6-4317-98C2-5ABC50EF191F}" name="Column1"/>
    <tableColumn id="9" xr3:uid="{6A2F0699-5973-415D-9F5E-664EE21FE16C}" name="Drain_spacing_no_bp"/>
    <tableColumn id="10" xr3:uid="{74CD4333-6129-4442-AD50-4DBFEDDA002E}" name="Blockage_factor"/>
    <tableColumn id="11" xr3:uid="{54A47B1D-CCE0-4B57-9317-7EA4B9573B57}" name="Drain_spacing_with_bp"/>
    <tableColumn id="12" xr3:uid="{421011AB-08F5-467F-A50E-1ADA8312DBD8}" name="Road_width"/>
    <tableColumn id="13" xr3:uid="{B7C275E7-ACEA-485E-8501-59862A9D8E46}" name="Crowning"/>
    <tableColumn id="14" xr3:uid="{8115B5E1-8F6C-4FAB-B7F6-FAE92BF73885}" name="Gully_factor"/>
    <tableColumn id="15" xr3:uid="{7147C98C-ECB0-47DA-B311-4CC243A65E0A}" name="Drain_slope" dataDxfId="173"/>
    <tableColumn id="16" xr3:uid="{617EBCA1-A22D-4D89-B60B-4D78B95ABA31}" name=" F_ax_pw"/>
    <tableColumn id="17" xr3:uid="{462D4C4D-679A-4696-B3CF-0905728F1F70}" name="rainan_mean" dataDxfId="172"/>
    <tableColumn id="18" xr3:uid="{58DB1BE8-DBE2-4C56-AA9A-F4D0F102FBFE}" name="30_10aep_mean" dataDxfId="171"/>
    <tableColumn id="19" xr3:uid="{89C0C0D3-5D67-4126-B65D-A369CC58EBE5}" name="Drain__x000a_catchment_area" dataDxfId="170">
      <calculatedColumnFormula>($I5*$L5)*($M5/100)</calculatedColumnFormula>
    </tableColumn>
    <tableColumn id="20" xr3:uid="{3BBF1644-E9A6-4DC5-8C4F-E0089EEC21D1}" name="sl_adj_f" dataDxfId="169">
      <calculatedColumnFormula>(-1.5+6.51)/(1+EXP(0.94-5.3*SIN(RADIANS($G5))))</calculatedColumnFormula>
    </tableColumn>
    <tableColumn id="21" xr3:uid="{6AE45DBC-38D7-43F5-9BD3-C89B88FB738A}" name="sdel_mgm2" dataDxfId="168">
      <calculatedColumnFormula>2.67*$P5+84.69*T5</calculatedColumnFormula>
    </tableColumn>
    <tableColumn id="22" xr3:uid="{90FBA765-0748-4756-9ECF-16EE9EAA8F3C}" name="sdel_mgm2yr" dataDxfId="167">
      <calculatedColumnFormula>U5*$Q5</calculatedColumnFormula>
    </tableColumn>
    <tableColumn id="23" xr3:uid="{A425BC78-710C-4E84-A256-FD485546C73F}" name="sdel_mgHayr " dataDxfId="166">
      <calculatedColumnFormula>V5*(100*100)</calculatedColumnFormula>
    </tableColumn>
    <tableColumn id="24" xr3:uid="{B2972364-C9C7-4609-A036-787779683AEE}" name="sed_del_tHayr " dataDxfId="165">
      <calculatedColumnFormula>W5/(1000*1000*1000)</calculatedColumnFormula>
    </tableColumn>
    <tableColumn id="25" xr3:uid="{40D02D2E-867C-457D-9F33-E15AAF55A2A5}" name="Dur_hr" dataDxfId="164">
      <calculatedColumnFormula>0.5</calculatedColumnFormula>
    </tableColumn>
    <tableColumn id="26" xr3:uid="{BDC2BC35-1EFE-4152-B3F2-DA4E36E67884}" name="Infrate_mmhr" dataDxfId="163">
      <calculatedColumnFormula>11.74</calculatedColumnFormula>
    </tableColumn>
    <tableColumn id="27" xr3:uid="{53D56CC2-528B-4B9E-9F5A-CEADCC63CA58}" name="vbt5_meanm3" dataDxfId="162">
      <calculatedColumnFormula>336/1000</calculatedColumnFormula>
    </tableColumn>
    <tableColumn id="28" xr3:uid="{ADA36976-BB30-49E4-B8EB-D9C63BD322D6}" name="V_m3" dataDxfId="161">
      <calculatedColumnFormula>(($S5)*($R5-Z5)*Y5/1000)</calculatedColumnFormula>
    </tableColumn>
    <tableColumn id="29" xr3:uid="{6236D4CD-9BCE-4EF8-A2A3-60DC5F808B21}" name="pmof_rs _d_m3" dataDxfId="160">
      <calculatedColumnFormula>IF(AB5-($C5*AA5/5)&gt;0,AB5-($C5*AA5/5),0)</calculatedColumnFormula>
    </tableColumn>
    <tableColumn id="30" xr3:uid="{4C3FFC41-1D13-49D3-A684-A08E42E9ABD9}" name="pmof_rs _g_m3" dataDxfId="159">
      <calculatedColumnFormula>IF((AF5-$C5)/AF5*AB5&gt;0,(AF5-$C5)/AF5*AB5,0)</calculatedColumnFormula>
    </tableColumn>
    <tableColumn id="31" xr3:uid="{CCB222AB-F415-412C-948A-22B97EFAB2D5}" name="mpl_ d_m" dataDxfId="158">
      <calculatedColumnFormula>5*AB5/AA5</calculatedColumnFormula>
    </tableColumn>
    <tableColumn id="32" xr3:uid="{4DF0C950-3764-4218-B8EF-786B90BA9618}" name="mpl_ g_m" dataDxfId="157">
      <calculatedColumnFormula>AE5*3</calculatedColumnFormula>
    </tableColumn>
    <tableColumn id="33" xr3:uid="{102D6011-0C4C-4006-B0AE-0E5355E20278}" name="Gully_pred" dataDxfId="156">
      <calculatedColumnFormula>IFERROR(IF(AJ5&lt;AK5,0,1),"")</calculatedColumnFormula>
    </tableColumn>
    <tableColumn id="34" xr3:uid="{0FC2500E-1569-4657-842E-98590D82F680}" name="Gully_obs" dataDxfId="155">
      <calculatedColumnFormula>$N5</calculatedColumnFormula>
    </tableColumn>
    <tableColumn id="35" xr3:uid="{0B2C6159-46AE-4708-8CCD-0EFF9C46E541}" name="slp_deg" dataDxfId="154">
      <calculatedColumnFormula>$O5</calculatedColumnFormula>
    </tableColumn>
    <tableColumn id="36" xr3:uid="{57A0015A-D06F-4F60-A5C5-09105065D136}" name="rcont_a_m2" dataDxfId="153">
      <calculatedColumnFormula>S5</calculatedColumnFormula>
    </tableColumn>
    <tableColumn id="37" xr3:uid="{6796E942-FB3B-49E0-B384-107287A8A38B}" name="a_thresh_m2" dataDxfId="152">
      <calculatedColumnFormula>IFERROR(70/SIN(RADIANS(AI5)),"")</calculatedColumnFormula>
    </tableColumn>
    <tableColumn id="38" xr3:uid="{2CE0A7E4-F691-4900-965F-A57351D4A675}" name="v_m3_1" dataDxfId="151">
      <calculatedColumnFormula>IF(AH5=1,AD5,AC5)</calculatedColumnFormula>
    </tableColumn>
    <tableColumn id="39" xr3:uid="{643B6DAE-6394-4791-87ED-9BBF4455A4E4}" name="rsurf_a_ha" dataDxfId="150">
      <calculatedColumnFormula>AJ5/(100*100)</calculatedColumnFormula>
    </tableColumn>
    <tableColumn id="40" xr3:uid="{6E3432DC-027A-42F1-846F-94DEF17C2EA8}" name="sed_gen_tyr" dataDxfId="149">
      <calculatedColumnFormula>AM5*X5</calculatedColumnFormula>
    </tableColumn>
    <tableColumn id="41" xr3:uid="{B1A09677-3427-4D45-B196-7DDE512A1C33}" name="Sed_gen_gyr" dataDxfId="148">
      <calculatedColumnFormula>AN5*1000*1000</calculatedColumnFormula>
    </tableColumn>
    <tableColumn id="42" xr3:uid="{B23AD8F4-9946-4D45-9003-80372DA70F2D}" name="Init_sed_con_gL" dataDxfId="147">
      <calculatedColumnFormula>AO5/(AB5*1000)</calculatedColumnFormula>
    </tableColumn>
    <tableColumn id="43" xr3:uid="{CAD1E318-375E-4CC9-95C2-8550FD02FD7F}" name="Pct_pl_g " dataDxfId="146">
      <calculatedColumnFormula>$C5/AF5*100</calculatedColumnFormula>
    </tableColumn>
    <tableColumn id="44" xr3:uid="{E0B18C07-B063-44BF-97B4-D51AA0748015}" name="pct_pl_d" dataDxfId="145">
      <calculatedColumnFormula>($C5/AE5)*100</calculatedColumnFormula>
    </tableColumn>
    <tableColumn id="45" xr3:uid="{F7358180-1D3D-4604-9217-CA192B94FD78}" name="sed_c_as_g_kgm3" dataDxfId="144">
      <calculatedColumnFormula>AP5*EXP(-0.0156*AQ5)</calculatedColumnFormula>
    </tableColumn>
    <tableColumn id="46" xr3:uid="{FD9A9D62-EC7A-4A07-B10D-328CB7977605}" name="sed_c_as_d_kgm3" dataDxfId="143">
      <calculatedColumnFormula>AP5*EXP(-0.0156*AR5)</calculatedColumnFormula>
    </tableColumn>
    <tableColumn id="47" xr3:uid="{015460D1-3FC4-4FA5-8042-914C74C5D41E}" name="sed_del_kg_no_drain_BP" dataDxfId="142">
      <calculatedColumnFormula>IF(AH5=1,AS5*AD5,AT5*AC5)</calculatedColumnFormula>
    </tableColumn>
    <tableColumn id="48" xr3:uid="{8B51C97B-8438-44C2-9437-A0DD24BB7FA5}" name="Disp_offset_m" dataDxfId="141">
      <calculatedColumnFormula>IF(($C5-AE5)&gt;0,($C5-AE5),0)</calculatedColumnFormula>
    </tableColumn>
    <tableColumn id="49" xr3:uid="{49699503-4B47-4087-8648-93C8BD38D7DA}" name="Gull_offset_m" dataDxfId="140">
      <calculatedColumnFormula>IF(($C5-AF5)&gt;0,($C5-AF5),0)</calculatedColumnFormula>
    </tableColumn>
    <tableColumn id="50" xr3:uid="{88B28D78-8BCD-4D4C-BA05-4E09B37C4B07}" name="Drain__x000a_catchment_area2" dataDxfId="139">
      <calculatedColumnFormula>($K5*$L5)*($M5/100)</calculatedColumnFormula>
    </tableColumn>
    <tableColumn id="51" xr3:uid="{B73F1941-089F-4CA1-96EF-6D87EF6601C3}" name="sl_adj_f3" dataDxfId="138">
      <calculatedColumnFormula>(-1.5+6.51)/(1+EXP(0.94-5.3*SIN(RADIANS($G5))))</calculatedColumnFormula>
    </tableColumn>
    <tableColumn id="52" xr3:uid="{8BFB3E8D-0766-4F5F-9907-339E52824B9E}" name="sdel_mgm24" dataDxfId="137">
      <calculatedColumnFormula>2.67*$P5+84.69*AY5</calculatedColumnFormula>
    </tableColumn>
    <tableColumn id="53" xr3:uid="{6F11B060-BA36-448A-80A8-020F0F04CD1D}" name="sdel_mgm2yr5" dataDxfId="136">
      <calculatedColumnFormula>AZ5*$Q5</calculatedColumnFormula>
    </tableColumn>
    <tableColumn id="54" xr3:uid="{89F449F8-A7AB-4CD5-B545-0BCBAC2BF650}" name="sdel_mgHayr 6" dataDxfId="135">
      <calculatedColumnFormula>BA5*(100*100)</calculatedColumnFormula>
    </tableColumn>
    <tableColumn id="55" xr3:uid="{E8C0FB91-43BC-402B-8482-1A24541BDFCF}" name="sed_del_tHayr 7" dataDxfId="134">
      <calculatedColumnFormula>BB5/(1000*1000*1000)</calculatedColumnFormula>
    </tableColumn>
    <tableColumn id="56" xr3:uid="{5F4EB719-5462-4656-A50F-BA9EFA5EE143}" name="Dur_hr8" dataDxfId="133">
      <calculatedColumnFormula>0.5</calculatedColumnFormula>
    </tableColumn>
    <tableColumn id="57" xr3:uid="{C3684B64-45AD-4BD8-8BD4-2EFE241BCA8A}" name="Infrate_mmhr9" dataDxfId="132">
      <calculatedColumnFormula>11.74</calculatedColumnFormula>
    </tableColumn>
    <tableColumn id="58" xr3:uid="{B9011EAC-20E9-4D2A-A78E-DBDCC67F88CC}" name="vbt5_meanm310" dataDxfId="131">
      <calculatedColumnFormula>336/1000</calculatedColumnFormula>
    </tableColumn>
    <tableColumn id="59" xr3:uid="{ECF006C3-66C8-4DA8-B44A-3D5FDA1C9F7E}" name="V_m311" dataDxfId="130">
      <calculatedColumnFormula>(($AX5)*($R5-BE5)*BD5/1000)</calculatedColumnFormula>
    </tableColumn>
    <tableColumn id="60" xr3:uid="{331D82C1-B6CF-4DC1-BFC5-AC457C89B2C8}" name="pmof_rs _d_m312" dataDxfId="129">
      <calculatedColumnFormula>IF(BG5-($C5*BF5/5)&gt;0,BG5-($C5*BF5/5),0)</calculatedColumnFormula>
    </tableColumn>
    <tableColumn id="61" xr3:uid="{EF51BA67-3118-4851-AA5D-A4AD3BCA7442}" name="pmof_rs _g_m313" dataDxfId="128">
      <calculatedColumnFormula>IF((BK5-$C5)/BK5*BG5&gt;0,(BK5-$C5)/BK5*BG5,0)</calculatedColumnFormula>
    </tableColumn>
    <tableColumn id="62" xr3:uid="{0F408C6B-2F95-480C-99EC-2F355121F4B6}" name="mpl_ d_m14" dataDxfId="127">
      <calculatedColumnFormula>5*BG5/BF5</calculatedColumnFormula>
    </tableColumn>
    <tableColumn id="63" xr3:uid="{037CC459-C110-4D8C-B1B5-31EF430DE0C8}" name="mpl_ g_m15" dataDxfId="126">
      <calculatedColumnFormula>BJ5*3</calculatedColumnFormula>
    </tableColumn>
    <tableColumn id="64" xr3:uid="{6BAF98C8-F31E-454F-A3A1-C23514B66E7C}" name="Gully_pred16" dataDxfId="125">
      <calculatedColumnFormula>IFERROR(IF(BO5&lt;BP5,0,1),"")</calculatedColumnFormula>
    </tableColumn>
    <tableColumn id="65" xr3:uid="{7F2AD6C7-4CD4-4986-8E8C-CBF52442A985}" name="Gully_obs17" dataDxfId="124">
      <calculatedColumnFormula>$N5</calculatedColumnFormula>
    </tableColumn>
    <tableColumn id="66" xr3:uid="{26D40D9E-061A-4209-B5CA-CC2F78064956}" name="slp_deg18" dataDxfId="123">
      <calculatedColumnFormula>$O5</calculatedColumnFormula>
    </tableColumn>
    <tableColumn id="67" xr3:uid="{CE814E4B-0ECA-4DD7-9A56-7B22703E24F5}" name="rcont_a_m219" dataDxfId="122">
      <calculatedColumnFormula>AX5</calculatedColumnFormula>
    </tableColumn>
    <tableColumn id="68" xr3:uid="{9E991772-D348-492D-A15A-09740EBEF9BD}" name="a_thresh_m220" dataDxfId="121">
      <calculatedColumnFormula>IFERROR(70/SIN(RADIANS(BN5)),"")</calculatedColumnFormula>
    </tableColumn>
    <tableColumn id="69" xr3:uid="{5412C14D-12BD-4EFD-9156-37DA574DD3D5}" name="v_m3_121" dataDxfId="120">
      <calculatedColumnFormula>IF(BM5=1,BI5,BH5)</calculatedColumnFormula>
    </tableColumn>
    <tableColumn id="70" xr3:uid="{3DDE02DD-6F78-4122-8CE5-4548B06EDA90}" name="rsurf_a_ha22" dataDxfId="119">
      <calculatedColumnFormula>BO5/(100*100)</calculatedColumnFormula>
    </tableColumn>
    <tableColumn id="71" xr3:uid="{45FDF433-EF20-458C-8A95-AFB893D9E01C}" name="sed_gen_tyr23" dataDxfId="118">
      <calculatedColumnFormula>BR5*BC5</calculatedColumnFormula>
    </tableColumn>
    <tableColumn id="72" xr3:uid="{321D0E04-3236-44E5-BE18-D4377CFDE168}" name="Sed_gen_gyr24" dataDxfId="117">
      <calculatedColumnFormula>BS5*1000*1000</calculatedColumnFormula>
    </tableColumn>
    <tableColumn id="73" xr3:uid="{527D7423-F154-46EB-97E9-360861716807}" name="Init_sed_con_gL25" dataDxfId="116">
      <calculatedColumnFormula>BT5/(BG5*1000)</calculatedColumnFormula>
    </tableColumn>
    <tableColumn id="74" xr3:uid="{2F72A168-CE8A-4983-B9EC-9ABAD5210685}" name="Pct_pl_g 26" dataDxfId="115">
      <calculatedColumnFormula>$C5/BK5*100</calculatedColumnFormula>
    </tableColumn>
    <tableColumn id="75" xr3:uid="{F0CF78AA-F144-48C7-BDC6-E90759B93D10}" name="pct_pl_d27" dataDxfId="114">
      <calculatedColumnFormula>($C5/BJ5)*100</calculatedColumnFormula>
    </tableColumn>
    <tableColumn id="76" xr3:uid="{E334A8DB-B7D2-4D06-BFD1-0A89C662A478}" name="sed_c_as_g_kgm328" dataDxfId="113">
      <calculatedColumnFormula>BU5*EXP(-0.0156*BV5)</calculatedColumnFormula>
    </tableColumn>
    <tableColumn id="77" xr3:uid="{7113B0C9-4699-40FF-A209-D46D979705E2}" name="sed_c_as_d_kgm329" dataDxfId="112">
      <calculatedColumnFormula>BU5*EXP(-0.0156*BW5)</calculatedColumnFormula>
    </tableColumn>
    <tableColumn id="78" xr3:uid="{61AEE7EF-1118-4C15-8D5C-FDAF91C4768F}" name="sed_del_kg_with_BP" dataDxfId="111">
      <calculatedColumnFormula>IF(BM5=1,BX5*BI5,BY5*BH5)</calculatedColumnFormula>
    </tableColumn>
    <tableColumn id="79" xr3:uid="{D17E9746-6205-4833-9BFB-AC1673E77E91}" name="Disp_offset_m31" dataDxfId="110">
      <calculatedColumnFormula>IF(($C5-BJ5)&gt;0,($C5-BJ5),0)</calculatedColumnFormula>
    </tableColumn>
    <tableColumn id="80" xr3:uid="{B60259D4-43D6-44D9-910E-4EA502CC952A}" name="Gull_offset_m32" dataDxfId="109">
      <calculatedColumnFormula>IF(($C5-BK5)&gt;0,($C5-BK5),0)</calculatedColumnFormula>
    </tableColumn>
    <tableColumn id="81" xr3:uid="{B80333DE-BDF2-4D43-A62C-C7A061103662}" name="Sed_del_diff_kg_due_bypass" dataDxfId="108">
      <calculatedColumnFormula>Table4[[#This Row],[sed_del_kg_with_BP]]-Table4[[#This Row],[sed_del_kg_no_drain_BP]]</calculatedColumnFormula>
    </tableColumn>
    <tableColumn id="82" xr3:uid="{1ECAABEE-C9A0-4B3D-9D4D-885764891DA8}" name="disp_plume-offset_bypass_m" dataDxfId="107">
      <calculatedColumnFormula>Table4[[#This Row],[Disp_offset_m]]-Table4[[#This Row],[Disp_offset_m31]]</calculatedColumnFormula>
    </tableColumn>
    <tableColumn id="83" xr3:uid="{102070E6-A3CF-4F15-8192-63A4CB8AFB3C}" name="gullied_plume_offset_bypass" dataDxfId="106">
      <calculatedColumnFormula>Table4[[#This Row],[Gull_offset_m]]-Table4[[#This Row],[Gull_offset_m32]]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EF4E505-37EC-49C9-9E51-4C2B14AE720C}" name="Table2" displayName="Table2" ref="A4:CD51" totalsRowShown="0" headerRowDxfId="105" dataDxfId="104" tableBorderDxfId="103">
  <autoFilter ref="A4:CD51" xr:uid="{0EF4E505-37EC-49C9-9E51-4C2B14AE720C}"/>
  <tableColumns count="82">
    <tableColumn id="1" xr3:uid="{ABB25DDB-B0A2-4D72-940E-76684D8559F8}" name="Point_ID"/>
    <tableColumn id="2" xr3:uid="{9A70568B-C9FA-4348-BE23-A785AED38A6D}" name="Type" dataDxfId="102"/>
    <tableColumn id="3" xr3:uid="{BFF1FC27-CB5D-4AC9-8B68-56DBE50F6F39}" name="Stream_dist" dataDxfId="101"/>
    <tableColumn id="4" xr3:uid="{DF7709E3-9A7F-4771-863E-808274142FEC}" name="Easting" dataDxfId="100"/>
    <tableColumn id="5" xr3:uid="{A450F7CC-069F-4404-91CF-C006095C61D4}" name="Northing" dataDxfId="99"/>
    <tableColumn id="6" xr3:uid="{B5B00FA6-7453-4107-8A39-B7E6C63F400F}" name="Elevation" dataDxfId="98"/>
    <tableColumn id="7" xr3:uid="{54E3E33D-CB8C-45FF-92C1-A73F25417387}" name="Road _slope" dataDxfId="97"/>
    <tableColumn id="8" xr3:uid="{486D3106-E683-480C-9A65-738C822ADED3}" name="Bypass_factor" dataDxfId="96"/>
    <tableColumn id="9" xr3:uid="{4ED75326-A12E-4CB0-9684-866FABB8F63A}" name="Drain_spacing_no_bp" dataDxfId="95"/>
    <tableColumn id="10" xr3:uid="{F13EE1C9-D397-4524-B7FE-64F6DF93A004}" name="Blockage_factor" dataDxfId="94"/>
    <tableColumn id="11" xr3:uid="{9C482B97-1774-4ADD-AA4C-03BFA6102F59}" name="Drain_spacing_with_bp" dataDxfId="93"/>
    <tableColumn id="12" xr3:uid="{F683A349-FB62-4176-9793-768490C105E7}" name="Road_width" dataDxfId="92"/>
    <tableColumn id="13" xr3:uid="{C9BA586F-CB27-445A-A569-CDAE9CED19C4}" name="Crowning" dataDxfId="91"/>
    <tableColumn id="14" xr3:uid="{68A14286-A1F3-4AB9-8849-1AB9993DB40D}" name="Gully_factor" dataDxfId="90"/>
    <tableColumn id="15" xr3:uid="{74B4EB29-5381-42A6-82C2-06D2533204CF}" name="Drain_slope" dataDxfId="89"/>
    <tableColumn id="16" xr3:uid="{02948DC5-EF29-4BD7-8C18-81B12EBBD4A9}" name=" F_ax_pw" dataDxfId="88"/>
    <tableColumn id="17" xr3:uid="{B61DFE1F-0028-4F4B-ACE2-4ADAC0431FF9}" name="rainan_mean" dataDxfId="87"/>
    <tableColumn id="18" xr3:uid="{67172979-DF4D-41D8-AE3D-73195F087D50}" name="30_10aep_mean" dataDxfId="86"/>
    <tableColumn id="19" xr3:uid="{D8D647A5-C71B-403F-B1F2-54E525AFAB2E}" name="Drain__x000a_catchment_area" dataDxfId="85">
      <calculatedColumnFormula>IF(H5=1,($K5*$L5)*($M5/100),($I5*$L5)*($M5/100))</calculatedColumnFormula>
    </tableColumn>
    <tableColumn id="20" xr3:uid="{70E6D586-61EE-4996-9E62-D30250C256A1}" name="sl_adj_f" dataDxfId="84">
      <calculatedColumnFormula>(-1.5+6.51)/(1+EXP(0.94-5.3*SIN(RADIANS($G5))))</calculatedColumnFormula>
    </tableColumn>
    <tableColumn id="21" xr3:uid="{01A000D0-6F87-4C85-BBDB-4B94C4C3DD9F}" name="sdel_mgm2" dataDxfId="83">
      <calculatedColumnFormula>2.67*$P5+84.69*T5</calculatedColumnFormula>
    </tableColumn>
    <tableColumn id="22" xr3:uid="{F92898F9-3744-4B68-9D1B-0DAF35693D5F}" name="sdel_mgm2yr" dataDxfId="82">
      <calculatedColumnFormula>U5*$Q5</calculatedColumnFormula>
    </tableColumn>
    <tableColumn id="23" xr3:uid="{6EAF610B-8CAA-44B1-9B75-2CD5E00EEA1D}" name="sdel_mgHayr " dataDxfId="81">
      <calculatedColumnFormula>V5*(100*100)</calculatedColumnFormula>
    </tableColumn>
    <tableColumn id="24" xr3:uid="{A7A90BD7-8B51-4E20-97C8-28E140FBE0F5}" name="sed_del_tHayr " dataDxfId="80">
      <calculatedColumnFormula>W5/(1000*1000*1000)</calculatedColumnFormula>
    </tableColumn>
    <tableColumn id="25" xr3:uid="{0477BB7C-D3E7-4C16-BB53-EB92DB46BBF5}" name="Dur_hr" dataDxfId="79">
      <calculatedColumnFormula>0.5</calculatedColumnFormula>
    </tableColumn>
    <tableColumn id="26" xr3:uid="{268D14A2-D603-4ECF-B119-EB070FFB8E3D}" name="Infrate_mmhr" dataDxfId="78">
      <calculatedColumnFormula>11.74</calculatedColumnFormula>
    </tableColumn>
    <tableColumn id="27" xr3:uid="{E00870CF-A6AA-4BA0-AC69-A5AFE4BD6E5B}" name="vbt5_meanm3" dataDxfId="77">
      <calculatedColumnFormula>336/1000</calculatedColumnFormula>
    </tableColumn>
    <tableColumn id="28" xr3:uid="{9148BE0A-01E7-4513-9D6B-85C3737D0363}" name="V_m3" dataDxfId="76">
      <calculatedColumnFormula>(($S5)*($R5-Z5)*Y5/1000)</calculatedColumnFormula>
    </tableColumn>
    <tableColumn id="29" xr3:uid="{8411245C-518D-4C1C-AE3A-D10808C4577A}" name="pmof_rs _d_m3" dataDxfId="75">
      <calculatedColumnFormula>IF(AB5-($C5*AA5/5)&gt;0,AB5-($C5*AA5/5),0)</calculatedColumnFormula>
    </tableColumn>
    <tableColumn id="30" xr3:uid="{54C9EC48-86C5-41EE-B72B-B76791776E4B}" name="pmof_rs _g_m3" dataDxfId="74">
      <calculatedColumnFormula>IF((AF5-$C5)/AF5*AB5&gt;0,(AF5-$C5)/AF5*AB5,0)</calculatedColumnFormula>
    </tableColumn>
    <tableColumn id="31" xr3:uid="{890905D0-7B33-4FEC-ABC3-77DB7D18DDE9}" name="mpl_ d_m" dataDxfId="73">
      <calculatedColumnFormula>5*AB5/AA5</calculatedColumnFormula>
    </tableColumn>
    <tableColumn id="32" xr3:uid="{A197787D-BFAE-4F9D-A2D4-E029FFEC78CC}" name="mpl_ g_m" dataDxfId="72">
      <calculatedColumnFormula>AE5*3</calculatedColumnFormula>
    </tableColumn>
    <tableColumn id="33" xr3:uid="{C5507EE9-3C82-4A3C-A0B2-E2844F95F564}" name="Gully_pred" dataDxfId="71">
      <calculatedColumnFormula>IFERROR(IF(AJ5&lt;AK5,0,1),"")</calculatedColumnFormula>
    </tableColumn>
    <tableColumn id="34" xr3:uid="{4E147C47-2CFA-4D67-B7F6-5F19B39A107F}" name="Gully_obs" dataDxfId="70">
      <calculatedColumnFormula>1</calculatedColumnFormula>
    </tableColumn>
    <tableColumn id="35" xr3:uid="{A36A47C5-422C-4F9D-8EFB-B9E062D5C02C}" name="slp_deg" dataDxfId="69">
      <calculatedColumnFormula>$O5</calculatedColumnFormula>
    </tableColumn>
    <tableColumn id="36" xr3:uid="{74F278FE-F2F2-4914-952A-48E31FEECE08}" name="rcont_a_m2" dataDxfId="68">
      <calculatedColumnFormula>S5</calculatedColumnFormula>
    </tableColumn>
    <tableColumn id="37" xr3:uid="{FE1EE9B7-6DC3-4AD5-8AB6-BB284D264623}" name="a_thresh_m2" dataDxfId="67">
      <calculatedColumnFormula>IFERROR(70/SIN(RADIANS(AI5)),"")</calculatedColumnFormula>
    </tableColumn>
    <tableColumn id="38" xr3:uid="{E7771A24-E8E6-4A70-984F-682745117A27}" name="v_m3_1" dataDxfId="66">
      <calculatedColumnFormula>IF(AH5=1,AD5,AC5)</calculatedColumnFormula>
    </tableColumn>
    <tableColumn id="39" xr3:uid="{804874ED-5255-4567-8347-1AB07A464F08}" name="rsurf_a_ha" dataDxfId="65">
      <calculatedColumnFormula>AJ5/(100*100)</calculatedColumnFormula>
    </tableColumn>
    <tableColumn id="40" xr3:uid="{6CDAA2D4-9C21-4BB0-8B19-14B98FC63BB3}" name="sed_gen_tyr" dataDxfId="64">
      <calculatedColumnFormula>AM5*X5</calculatedColumnFormula>
    </tableColumn>
    <tableColumn id="41" xr3:uid="{567D3433-39EF-44C3-BC39-A983EF559A4A}" name="Sed_gen_gyr" dataDxfId="63">
      <calculatedColumnFormula>AN5*1000*1000</calculatedColumnFormula>
    </tableColumn>
    <tableColumn id="42" xr3:uid="{AAA382B7-B45D-455E-B388-F67B2BA9BE53}" name="Init_sed_con_gL" dataDxfId="62">
      <calculatedColumnFormula>AO5/(AB5*1000)</calculatedColumnFormula>
    </tableColumn>
    <tableColumn id="43" xr3:uid="{0F7098AF-AC79-41EB-BFCE-F8238B343328}" name="Pct_pl_g " dataDxfId="61">
      <calculatedColumnFormula>$C5/AF5*100</calculatedColumnFormula>
    </tableColumn>
    <tableColumn id="44" xr3:uid="{24DC6D1F-2444-424B-ADFF-E1E296A9D8CF}" name="pct_pl_d" dataDxfId="60">
      <calculatedColumnFormula>($C5/AE5)*100</calculatedColumnFormula>
    </tableColumn>
    <tableColumn id="45" xr3:uid="{8157F2A8-FD1B-4B67-A445-2320EF565F37}" name="sed_c_as_g_kgm3" dataDxfId="59">
      <calculatedColumnFormula>AP5*EXP(-0.0156*AQ5)</calculatedColumnFormula>
    </tableColumn>
    <tableColumn id="46" xr3:uid="{83C498DC-5B5D-44F3-B802-11490F66E4ED}" name="sed_c_as_d_kgm3" dataDxfId="58">
      <calculatedColumnFormula>AP5*EXP(-0.0156*AR5)</calculatedColumnFormula>
    </tableColumn>
    <tableColumn id="47" xr3:uid="{9FFC829F-5974-4C9C-9AC8-F7127220DB48}" name="sed_del_kg_gullied" dataDxfId="57">
      <calculatedColumnFormula>IF(AH5=1,AS5*AD5,AT5*AC5)</calculatedColumnFormula>
    </tableColumn>
    <tableColumn id="48" xr3:uid="{06BC1949-EE0F-4276-B018-C63B76EED30D}" name="Disp_offset_m" dataDxfId="56">
      <calculatedColumnFormula>IF(($C5-AE5)&gt;0,($C5-AE5),0)</calculatedColumnFormula>
    </tableColumn>
    <tableColumn id="49" xr3:uid="{F6674C1E-AE6D-4A01-A7D0-4F0B44083781}" name="Gull_offset_m" dataDxfId="55">
      <calculatedColumnFormula>IF(($C5-AF5)&gt;0,($C5-AF5),0)</calculatedColumnFormula>
    </tableColumn>
    <tableColumn id="50" xr3:uid="{D7240F06-E90A-492D-B3DD-9DBA67AFF7BA}" name="Drain__x000a_catchment_area2" dataDxfId="54">
      <calculatedColumnFormula>IF(H5=1,($K5*$L5)*($M5/100),($I5*$L5)*($M5/100))</calculatedColumnFormula>
    </tableColumn>
    <tableColumn id="51" xr3:uid="{97F7E812-B816-46BF-BD41-96FC2FF01487}" name="sl_adj_f3" dataDxfId="53">
      <calculatedColumnFormula>(-1.5+6.51)/(1+EXP(0.94-5.3*SIN(RADIANS($G5))))</calculatedColumnFormula>
    </tableColumn>
    <tableColumn id="52" xr3:uid="{A63C6973-3C4B-4766-99A4-2F94231100A4}" name="sdel_mgm24" dataDxfId="52">
      <calculatedColumnFormula>2.67*$P5+84.69*AY5</calculatedColumnFormula>
    </tableColumn>
    <tableColumn id="53" xr3:uid="{E5C8F758-CFF5-4A92-B47F-372E6010B6E9}" name="sdel_mgm2yr5" dataDxfId="51">
      <calculatedColumnFormula>AZ5*$Q5</calculatedColumnFormula>
    </tableColumn>
    <tableColumn id="54" xr3:uid="{4AF8EB3A-953E-41FE-8927-52790D286E00}" name="sdel_mgHayr 6" dataDxfId="50">
      <calculatedColumnFormula>BA5*(100*100)</calculatedColumnFormula>
    </tableColumn>
    <tableColumn id="55" xr3:uid="{4C83552F-6BB1-4E4D-BA65-BA71755D4F61}" name="sed_del_tHayr 7" dataDxfId="49">
      <calculatedColumnFormula>BB5/(1000*1000*1000)</calculatedColumnFormula>
    </tableColumn>
    <tableColumn id="56" xr3:uid="{5C7A6CD6-B4B7-4570-869F-9E7069B2FAA4}" name="Dur_hr8" dataDxfId="48">
      <calculatedColumnFormula>0.5</calculatedColumnFormula>
    </tableColumn>
    <tableColumn id="57" xr3:uid="{6F8096D6-DC93-4E98-8D01-A7A97FE72029}" name="Infrate_mmhr9" dataDxfId="47">
      <calculatedColumnFormula>11.74</calculatedColumnFormula>
    </tableColumn>
    <tableColumn id="58" xr3:uid="{B5D9E047-B004-4E34-8DDC-898DA7773343}" name="vbt5_meanm310" dataDxfId="46">
      <calculatedColumnFormula>336/1000</calculatedColumnFormula>
    </tableColumn>
    <tableColumn id="59" xr3:uid="{3D757949-2BE4-4A15-A166-4EE191B1AF09}" name="V_m311" dataDxfId="45">
      <calculatedColumnFormula>(($S5)*($R5-BE5)*BD5/1000)</calculatedColumnFormula>
    </tableColumn>
    <tableColumn id="60" xr3:uid="{A2571DB6-3BAB-4145-8427-FF9E4EFE30C5}" name="pmof_rs _d_m312" dataDxfId="44">
      <calculatedColumnFormula>IF(BG5-($C5*BF5/5)&gt;0,BG5-($C5*BF5/5),0)</calculatedColumnFormula>
    </tableColumn>
    <tableColumn id="61" xr3:uid="{EEC40ADD-1B96-447B-9159-E5C84BA71E7C}" name="pmof_rs _g_m313" dataDxfId="43">
      <calculatedColumnFormula>IF((BK5-$C5)/BK5*BG5&gt;0,(BK5-$C5)/BK5*BG5,0)</calculatedColumnFormula>
    </tableColumn>
    <tableColumn id="62" xr3:uid="{8DA35BC9-047D-4A92-BE0A-BF4BCAED5EE9}" name="mpl_ d_m14" dataDxfId="42">
      <calculatedColumnFormula>5*BG5/BF5</calculatedColumnFormula>
    </tableColumn>
    <tableColumn id="63" xr3:uid="{80B0603A-621B-4663-8082-92A646254A00}" name="mpl_ g_m15" dataDxfId="41">
      <calculatedColumnFormula>BJ5*3</calculatedColumnFormula>
    </tableColumn>
    <tableColumn id="64" xr3:uid="{0B845340-37F7-4169-A4AB-78A97D880E41}" name="Gully_pred16" dataDxfId="40">
      <calculatedColumnFormula>IFERROR(IF(BO5&lt;BP5,0,1),"")</calculatedColumnFormula>
    </tableColumn>
    <tableColumn id="65" xr3:uid="{9D06C74D-3C64-4DBD-910A-A43AC52EDA0C}" name="Gully_obs17" dataDxfId="39">
      <calculatedColumnFormula>0</calculatedColumnFormula>
    </tableColumn>
    <tableColumn id="66" xr3:uid="{5D97191A-7196-4472-A3AA-0246C7CAB25E}" name="slp_deg18" dataDxfId="38">
      <calculatedColumnFormula>$O5</calculatedColumnFormula>
    </tableColumn>
    <tableColumn id="67" xr3:uid="{2B3A39A6-1621-495C-8517-607129AF41C9}" name="rcont_a_m219" dataDxfId="37">
      <calculatedColumnFormula>AX5</calculatedColumnFormula>
    </tableColumn>
    <tableColumn id="68" xr3:uid="{8E63BE90-3593-44DC-B44F-115436FD9F46}" name="a_thresh_m220" dataDxfId="36">
      <calculatedColumnFormula>IFERROR(70/SIN(RADIANS(BN5)),"")</calculatedColumnFormula>
    </tableColumn>
    <tableColumn id="69" xr3:uid="{4B899B50-FD29-4051-BA9F-16ABBB7CCB3D}" name="v_m3_121" dataDxfId="35">
      <calculatedColumnFormula>IF(BM5=1,BI5,BH5)</calculatedColumnFormula>
    </tableColumn>
    <tableColumn id="70" xr3:uid="{D58C7A51-5B1E-4F1D-81B9-0784ACD385CA}" name="rsurf_a_ha22" dataDxfId="34">
      <calculatedColumnFormula>BO5/(100*100)</calculatedColumnFormula>
    </tableColumn>
    <tableColumn id="71" xr3:uid="{3EEB267F-1B56-4F3E-8ADC-AB2A5EC9A822}" name="sed_gen_tyr23" dataDxfId="33">
      <calculatedColumnFormula>BR5*BC5</calculatedColumnFormula>
    </tableColumn>
    <tableColumn id="72" xr3:uid="{1359345C-79A8-424B-9437-081332A5CA3D}" name="Sed_gen_gyr24" dataDxfId="32">
      <calculatedColumnFormula>BS5*1000*1000</calculatedColumnFormula>
    </tableColumn>
    <tableColumn id="73" xr3:uid="{A2433BF4-A7B5-4DEF-B391-E1329D19AF53}" name="Init_sed_con_gL25" dataDxfId="31">
      <calculatedColumnFormula>BT5/(BG5*1000)</calculatedColumnFormula>
    </tableColumn>
    <tableColumn id="74" xr3:uid="{99A63DD8-83F4-4C1C-9D17-EA03AD6E4EFB}" name="Pct_pl_g 26" dataDxfId="30">
      <calculatedColumnFormula>$C5/BK5*100</calculatedColumnFormula>
    </tableColumn>
    <tableColumn id="75" xr3:uid="{D59714A3-5A1F-48ED-AFB4-8A4C0E3A420B}" name="pct_pl_d27" dataDxfId="29">
      <calculatedColumnFormula>($C5/BJ5)*100</calculatedColumnFormula>
    </tableColumn>
    <tableColumn id="76" xr3:uid="{7EDDE846-002C-48AA-89CB-D9CDAEFE7BE1}" name="sed_c_as_g_kgm328" dataDxfId="28">
      <calculatedColumnFormula>BU5*EXP(-0.0156*BV5)</calculatedColumnFormula>
    </tableColumn>
    <tableColumn id="77" xr3:uid="{F6AE4D03-7059-4377-B80D-D1B84C3DD1E7}" name="sed_c_as_d_kgm329" dataDxfId="27">
      <calculatedColumnFormula>BU5*EXP(-0.0156*BW5)</calculatedColumnFormula>
    </tableColumn>
    <tableColumn id="78" xr3:uid="{E2E0CBD8-79BE-4513-A435-18A281D8D050}" name="sed_del_kg_no_gully" dataDxfId="26">
      <calculatedColumnFormula>IF(BM5=1,BX5*BI5,BY5*BH5)</calculatedColumnFormula>
    </tableColumn>
    <tableColumn id="82" xr3:uid="{B3240699-86C5-420C-AF33-986462E08E8E}" name="Diff_sed_del_kg_due_gullying" dataDxfId="25">
      <calculatedColumnFormula>Table2[[#This Row],[sed_del_kg_gullied]]-Table2[[#This Row],[sed_del_kg_no_gully]]</calculatedColumnFormula>
    </tableColumn>
    <tableColumn id="79" xr3:uid="{225B2B70-9BCF-4DA9-9613-414689BEECCC}" name="Disp_offset_m31" dataDxfId="24">
      <calculatedColumnFormula>IF(($C5-BJ5)&gt;0,($C5-BJ5),0)</calculatedColumnFormula>
    </tableColumn>
    <tableColumn id="80" xr3:uid="{2921CE29-0816-480C-ADCA-6568970FA980}" name="Gull_offset_m32" dataDxfId="23">
      <calculatedColumnFormula>IF(($C5-BK5)&gt;0,($C5-BK5),0)</calculatedColumnFormula>
    </tableColumn>
    <tableColumn id="81" xr3:uid="{FC25B49B-35F8-440C-BB67-DBCCA5BA052F}" name="Observed_plume_waterway_offset" dataDxfId="22">
      <calculatedColumnFormula>IF(Gullying!$BM5=1,Gullying!$CC5,Gullying!$CB5)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8AE5-B051-47BA-B4C5-DE777FE60BD1}">
  <sheetPr codeName="Sheet6"/>
  <dimension ref="A1:N16"/>
  <sheetViews>
    <sheetView workbookViewId="0">
      <selection activeCell="B25" sqref="B25"/>
    </sheetView>
  </sheetViews>
  <sheetFormatPr defaultRowHeight="14.6" x14ac:dyDescent="0.4"/>
  <cols>
    <col min="1" max="1" width="76.53515625" customWidth="1"/>
    <col min="2" max="2" width="159" customWidth="1"/>
    <col min="3" max="3" width="39.84375" customWidth="1"/>
  </cols>
  <sheetData>
    <row r="1" spans="1:14" x14ac:dyDescent="0.4">
      <c r="A1" s="132" t="s">
        <v>64</v>
      </c>
      <c r="B1" s="132"/>
      <c r="C1" s="132"/>
      <c r="D1" s="132"/>
      <c r="E1" s="132"/>
      <c r="F1" s="132"/>
      <c r="G1" s="132"/>
      <c r="H1" s="132"/>
      <c r="I1" s="132"/>
    </row>
    <row r="2" spans="1:14" x14ac:dyDescent="0.4">
      <c r="A2" s="132"/>
      <c r="B2" s="132"/>
      <c r="C2" s="132"/>
      <c r="D2" s="132"/>
      <c r="E2" s="132"/>
      <c r="F2" s="132"/>
      <c r="G2" s="132"/>
      <c r="H2" s="132"/>
      <c r="I2" s="132"/>
    </row>
    <row r="3" spans="1:14" x14ac:dyDescent="0.4">
      <c r="A3" s="132"/>
      <c r="B3" s="132"/>
      <c r="C3" s="132"/>
      <c r="D3" s="132"/>
      <c r="E3" s="132"/>
      <c r="F3" s="132"/>
      <c r="G3" s="132"/>
      <c r="H3" s="132"/>
      <c r="I3" s="132"/>
    </row>
    <row r="5" spans="1:14" x14ac:dyDescent="0.4">
      <c r="A5" s="22" t="s">
        <v>66</v>
      </c>
      <c r="B5" s="22" t="s">
        <v>67</v>
      </c>
      <c r="C5" s="23" t="s">
        <v>68</v>
      </c>
      <c r="D5" s="23" t="s">
        <v>69</v>
      </c>
    </row>
    <row r="6" spans="1:14" x14ac:dyDescent="0.4">
      <c r="A6" s="21" t="s">
        <v>82</v>
      </c>
      <c r="B6" s="21" t="s">
        <v>54</v>
      </c>
      <c r="C6" s="21" t="s">
        <v>71</v>
      </c>
      <c r="D6" s="21" t="s">
        <v>65</v>
      </c>
    </row>
    <row r="7" spans="1:14" x14ac:dyDescent="0.4">
      <c r="A7" s="21" t="s">
        <v>83</v>
      </c>
      <c r="B7" s="21" t="s">
        <v>55</v>
      </c>
      <c r="C7" s="21" t="s">
        <v>72</v>
      </c>
      <c r="D7" s="21" t="s">
        <v>65</v>
      </c>
    </row>
    <row r="8" spans="1:14" x14ac:dyDescent="0.4">
      <c r="A8" s="21" t="s">
        <v>85</v>
      </c>
      <c r="B8" s="21" t="s">
        <v>57</v>
      </c>
      <c r="C8" s="21" t="s">
        <v>74</v>
      </c>
      <c r="D8" s="21" t="s">
        <v>65</v>
      </c>
    </row>
    <row r="9" spans="1:14" x14ac:dyDescent="0.4">
      <c r="A9" s="21" t="s">
        <v>86</v>
      </c>
      <c r="B9" s="21" t="s">
        <v>58</v>
      </c>
      <c r="C9" s="21" t="s">
        <v>75</v>
      </c>
      <c r="D9" s="21" t="s">
        <v>65</v>
      </c>
    </row>
    <row r="10" spans="1:14" x14ac:dyDescent="0.4">
      <c r="A10" s="21" t="s">
        <v>87</v>
      </c>
      <c r="B10" s="21" t="s">
        <v>59</v>
      </c>
      <c r="C10" s="21" t="s">
        <v>76</v>
      </c>
      <c r="D10" s="21" t="s">
        <v>65</v>
      </c>
    </row>
    <row r="11" spans="1:14" x14ac:dyDescent="0.4">
      <c r="A11" s="21" t="s">
        <v>88</v>
      </c>
      <c r="B11" s="21" t="s">
        <v>60</v>
      </c>
      <c r="C11" s="21" t="s">
        <v>77</v>
      </c>
      <c r="D11" s="21" t="s">
        <v>65</v>
      </c>
    </row>
    <row r="12" spans="1:14" x14ac:dyDescent="0.4">
      <c r="A12" s="21" t="s">
        <v>89</v>
      </c>
      <c r="B12" s="21" t="s">
        <v>61</v>
      </c>
      <c r="C12" s="21" t="s">
        <v>78</v>
      </c>
      <c r="D12" s="21" t="s">
        <v>65</v>
      </c>
    </row>
    <row r="13" spans="1:14" x14ac:dyDescent="0.4">
      <c r="A13" s="21" t="s">
        <v>90</v>
      </c>
      <c r="B13" s="21" t="s">
        <v>62</v>
      </c>
      <c r="C13" s="21" t="s">
        <v>79</v>
      </c>
      <c r="D13" s="21" t="s">
        <v>65</v>
      </c>
    </row>
    <row r="14" spans="1:14" x14ac:dyDescent="0.4">
      <c r="A14" s="21" t="s">
        <v>91</v>
      </c>
      <c r="B14" s="21" t="s">
        <v>63</v>
      </c>
      <c r="C14" s="21" t="s">
        <v>80</v>
      </c>
      <c r="D14" s="21" t="s">
        <v>65</v>
      </c>
    </row>
    <row r="15" spans="1:14" x14ac:dyDescent="0.4">
      <c r="A15" s="21" t="s">
        <v>84</v>
      </c>
      <c r="B15" s="21" t="s">
        <v>56</v>
      </c>
      <c r="C15" s="21" t="s">
        <v>73</v>
      </c>
      <c r="D15" s="21" t="s">
        <v>65</v>
      </c>
    </row>
    <row r="16" spans="1:14" x14ac:dyDescent="0.4">
      <c r="A16" s="21" t="s">
        <v>81</v>
      </c>
      <c r="B16" s="21" t="s">
        <v>53</v>
      </c>
      <c r="C16" t="s">
        <v>70</v>
      </c>
      <c r="D16" s="21" t="s">
        <v>65</v>
      </c>
      <c r="N16" s="21"/>
    </row>
  </sheetData>
  <mergeCells count="1">
    <mergeCell ref="A1:I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8DC53-F7D8-4CE9-831C-6F2DFF6E6491}">
  <sheetPr codeName="Sheet2"/>
  <dimension ref="A1:BL471"/>
  <sheetViews>
    <sheetView zoomScale="55" zoomScaleNormal="55" workbookViewId="0">
      <pane ySplit="4" topLeftCell="A5" activePane="bottomLeft" state="frozen"/>
      <selection activeCell="I1" sqref="I1"/>
      <selection pane="bottomLeft" activeCell="O63" sqref="O63"/>
    </sheetView>
  </sheetViews>
  <sheetFormatPr defaultColWidth="9.15234375" defaultRowHeight="14.6" x14ac:dyDescent="0.4"/>
  <cols>
    <col min="1" max="1" width="11.15234375" style="21" customWidth="1"/>
    <col min="2" max="2" width="10.84375" style="21" customWidth="1"/>
    <col min="3" max="3" width="18" style="21" customWidth="1"/>
    <col min="4" max="4" width="10.3046875" style="21" bestFit="1" customWidth="1"/>
    <col min="5" max="5" width="11.15234375" style="21" customWidth="1"/>
    <col min="6" max="6" width="10.3046875" style="21" bestFit="1" customWidth="1"/>
    <col min="7" max="8" width="17.53515625" style="21" customWidth="1"/>
    <col min="9" max="9" width="16.69140625" style="21" customWidth="1"/>
    <col min="10" max="11" width="21.15234375" style="21" customWidth="1"/>
    <col min="12" max="12" width="14" style="21" customWidth="1"/>
    <col min="13" max="13" width="12.3828125" style="21" customWidth="1"/>
    <col min="14" max="14" width="17" style="21" customWidth="1"/>
    <col min="15" max="15" width="12.3828125" style="21" customWidth="1"/>
    <col min="16" max="16" width="12.3046875" style="21" customWidth="1"/>
    <col min="17" max="17" width="13.69140625" style="3" bestFit="1" customWidth="1"/>
    <col min="18" max="18" width="14.53515625" style="3" bestFit="1" customWidth="1"/>
    <col min="19" max="19" width="20.53515625" style="3" customWidth="1"/>
    <col min="20" max="20" width="11.53515625" style="3" customWidth="1"/>
    <col min="21" max="21" width="8.69140625" style="3" bestFit="1" customWidth="1"/>
    <col min="22" max="22" width="11.84375" style="3" bestFit="1" customWidth="1"/>
    <col min="23" max="23" width="12.69140625" style="3" bestFit="1" customWidth="1"/>
    <col min="24" max="24" width="13.69140625" style="3" customWidth="1"/>
    <col min="25" max="25" width="17.53515625" style="3" customWidth="1"/>
    <col min="26" max="26" width="11.3046875" style="3" customWidth="1"/>
    <col min="27" max="27" width="11.53515625" style="3" customWidth="1"/>
    <col min="28" max="28" width="11.3828125" style="3" customWidth="1"/>
    <col min="29" max="29" width="15.3828125" style="3" customWidth="1"/>
    <col min="30" max="30" width="17.15234375" style="3" customWidth="1"/>
    <col min="31" max="31" width="10.53515625" style="3" customWidth="1"/>
    <col min="32" max="32" width="10" style="3" customWidth="1"/>
    <col min="33" max="34" width="13.3828125" style="3" customWidth="1"/>
    <col min="35" max="35" width="10.69140625" style="3" customWidth="1"/>
    <col min="36" max="37" width="9.15234375" style="3"/>
    <col min="38" max="38" width="8.84375" style="3"/>
    <col min="39" max="39" width="10.84375" style="3" customWidth="1"/>
    <col min="40" max="40" width="11.84375" style="3" customWidth="1"/>
    <col min="41" max="41" width="12.69140625" style="3" customWidth="1"/>
    <col min="42" max="42" width="9.15234375" style="3"/>
    <col min="43" max="43" width="10.53515625" style="3" customWidth="1"/>
    <col min="44" max="44" width="11.84375" style="3" customWidth="1"/>
    <col min="45" max="45" width="10.15234375" style="3" bestFit="1" customWidth="1"/>
    <col min="46" max="46" width="9.53515625" style="3" customWidth="1"/>
    <col min="47" max="47" width="11.69140625" style="3" customWidth="1"/>
    <col min="48" max="48" width="18.3046875" style="3" customWidth="1"/>
    <col min="49" max="49" width="16.3828125" style="3" customWidth="1"/>
    <col min="50" max="16384" width="9.15234375" style="3"/>
  </cols>
  <sheetData>
    <row r="1" spans="1:64" ht="29.25" customHeight="1" x14ac:dyDescent="0.55000000000000004">
      <c r="A1" s="138" t="s">
        <v>132</v>
      </c>
      <c r="B1" s="138"/>
      <c r="C1" s="24"/>
      <c r="D1" s="24"/>
      <c r="E1" s="24"/>
      <c r="F1" s="24"/>
      <c r="G1" s="28"/>
      <c r="H1" s="36"/>
      <c r="I1" s="28"/>
      <c r="J1" s="31"/>
      <c r="K1" s="36"/>
      <c r="L1" s="24"/>
      <c r="M1" s="24"/>
      <c r="N1" s="32"/>
      <c r="O1" s="32"/>
      <c r="P1" s="24"/>
      <c r="Q1" s="34"/>
      <c r="R1" s="34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42"/>
      <c r="AW1" s="42"/>
    </row>
    <row r="2" spans="1:64" ht="29.25" customHeight="1" x14ac:dyDescent="0.5500000000000000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6"/>
      <c r="R2" s="26"/>
      <c r="S2" s="45"/>
      <c r="T2" s="139"/>
      <c r="U2" s="139"/>
      <c r="V2" s="139"/>
      <c r="W2" s="139"/>
      <c r="X2" s="139"/>
      <c r="Y2" s="135" t="s">
        <v>103</v>
      </c>
      <c r="Z2" s="136"/>
      <c r="AA2" s="136"/>
      <c r="AB2" s="136"/>
      <c r="AC2" s="136"/>
      <c r="AD2" s="136"/>
      <c r="AE2" s="136"/>
      <c r="AF2" s="137"/>
      <c r="AG2" s="136" t="s">
        <v>106</v>
      </c>
      <c r="AH2" s="136"/>
      <c r="AI2" s="136"/>
      <c r="AJ2" s="136"/>
      <c r="AK2" s="136"/>
      <c r="AL2" s="136"/>
      <c r="AM2" s="136" t="s">
        <v>108</v>
      </c>
      <c r="AN2" s="136"/>
      <c r="AO2" s="136"/>
      <c r="AP2" s="136"/>
      <c r="AQ2" s="136"/>
      <c r="AR2" s="136"/>
      <c r="AS2" s="136"/>
      <c r="AT2" s="136"/>
      <c r="AU2" s="136"/>
      <c r="AV2" s="133" t="s">
        <v>116</v>
      </c>
      <c r="AW2" s="134"/>
    </row>
    <row r="3" spans="1:64" customFormat="1" ht="135" customHeight="1" x14ac:dyDescent="0.4">
      <c r="A3" s="26" t="s">
        <v>117</v>
      </c>
      <c r="B3" s="26" t="s">
        <v>104</v>
      </c>
      <c r="C3" s="26" t="s">
        <v>105</v>
      </c>
      <c r="D3" s="26" t="s">
        <v>119</v>
      </c>
      <c r="E3" s="26" t="s">
        <v>118</v>
      </c>
      <c r="F3" s="26" t="s">
        <v>97</v>
      </c>
      <c r="G3" s="26" t="s">
        <v>120</v>
      </c>
      <c r="H3" s="26" t="s">
        <v>155</v>
      </c>
      <c r="I3" s="37" t="s">
        <v>156</v>
      </c>
      <c r="J3" s="33" t="s">
        <v>124</v>
      </c>
      <c r="K3" s="37" t="s">
        <v>151</v>
      </c>
      <c r="L3" s="26" t="s">
        <v>125</v>
      </c>
      <c r="M3" s="26" t="s">
        <v>126</v>
      </c>
      <c r="N3" s="26" t="s">
        <v>127</v>
      </c>
      <c r="O3" s="26" t="s">
        <v>129</v>
      </c>
      <c r="P3" s="26" t="s">
        <v>133</v>
      </c>
      <c r="Q3" s="26" t="s">
        <v>134</v>
      </c>
      <c r="R3" s="26" t="s">
        <v>135</v>
      </c>
      <c r="S3" s="11" t="s">
        <v>136</v>
      </c>
      <c r="T3" s="11" t="s">
        <v>0</v>
      </c>
      <c r="U3" s="11" t="s">
        <v>1</v>
      </c>
      <c r="V3" s="11" t="s">
        <v>2</v>
      </c>
      <c r="W3" s="11" t="s">
        <v>3</v>
      </c>
      <c r="X3" s="11" t="s">
        <v>4</v>
      </c>
      <c r="Y3" s="15" t="s">
        <v>5</v>
      </c>
      <c r="Z3" s="15" t="s">
        <v>6</v>
      </c>
      <c r="AA3" s="15" t="s">
        <v>7</v>
      </c>
      <c r="AB3" s="16" t="s">
        <v>8</v>
      </c>
      <c r="AC3" s="13" t="s">
        <v>9</v>
      </c>
      <c r="AD3" s="13" t="s">
        <v>10</v>
      </c>
      <c r="AE3" s="13" t="s">
        <v>11</v>
      </c>
      <c r="AF3" s="13" t="s">
        <v>12</v>
      </c>
      <c r="AG3" s="7" t="s">
        <v>107</v>
      </c>
      <c r="AH3" s="7" t="s">
        <v>109</v>
      </c>
      <c r="AI3" s="7" t="s">
        <v>13</v>
      </c>
      <c r="AJ3" s="7" t="s">
        <v>14</v>
      </c>
      <c r="AK3" s="7" t="s">
        <v>15</v>
      </c>
      <c r="AL3" s="19" t="s">
        <v>16</v>
      </c>
      <c r="AM3" s="19" t="s">
        <v>17</v>
      </c>
      <c r="AN3" s="19" t="s">
        <v>18</v>
      </c>
      <c r="AO3" s="19" t="s">
        <v>19</v>
      </c>
      <c r="AP3" s="19" t="s">
        <v>20</v>
      </c>
      <c r="AQ3" s="19" t="s">
        <v>142</v>
      </c>
      <c r="AR3" s="19" t="s">
        <v>143</v>
      </c>
      <c r="AS3" s="19" t="s">
        <v>23</v>
      </c>
      <c r="AT3" s="19" t="s">
        <v>24</v>
      </c>
      <c r="AU3" s="19" t="s">
        <v>25</v>
      </c>
      <c r="AV3" s="40" t="s">
        <v>112</v>
      </c>
      <c r="AW3" s="40" t="s">
        <v>113</v>
      </c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s="1" customFormat="1" ht="46.5" customHeight="1" thickBot="1" x14ac:dyDescent="0.45">
      <c r="A4" s="25" t="s">
        <v>93</v>
      </c>
      <c r="B4" s="25" t="s">
        <v>122</v>
      </c>
      <c r="C4" s="25" t="s">
        <v>121</v>
      </c>
      <c r="D4" s="25" t="s">
        <v>95</v>
      </c>
      <c r="E4" s="25" t="s">
        <v>96</v>
      </c>
      <c r="F4" s="25" t="s">
        <v>97</v>
      </c>
      <c r="G4" s="25" t="s">
        <v>101</v>
      </c>
      <c r="H4" s="25" t="s">
        <v>157</v>
      </c>
      <c r="I4" s="25" t="s">
        <v>153</v>
      </c>
      <c r="J4" s="25" t="s">
        <v>123</v>
      </c>
      <c r="K4" s="25" t="s">
        <v>152</v>
      </c>
      <c r="L4" s="25" t="s">
        <v>98</v>
      </c>
      <c r="M4" s="25" t="s">
        <v>99</v>
      </c>
      <c r="N4" s="25" t="s">
        <v>128</v>
      </c>
      <c r="O4" s="25" t="s">
        <v>102</v>
      </c>
      <c r="P4" s="25" t="s">
        <v>92</v>
      </c>
      <c r="Q4" s="25" t="s">
        <v>51</v>
      </c>
      <c r="R4" s="25" t="s">
        <v>52</v>
      </c>
      <c r="S4" s="47" t="s">
        <v>100</v>
      </c>
      <c r="T4" s="12" t="s">
        <v>50</v>
      </c>
      <c r="U4" s="12" t="s">
        <v>47</v>
      </c>
      <c r="V4" s="12" t="s">
        <v>48</v>
      </c>
      <c r="W4" s="12" t="s">
        <v>49</v>
      </c>
      <c r="X4" s="12" t="s">
        <v>26</v>
      </c>
      <c r="Y4" s="17" t="s">
        <v>5</v>
      </c>
      <c r="Z4" s="17" t="s">
        <v>27</v>
      </c>
      <c r="AA4" s="17" t="s">
        <v>28</v>
      </c>
      <c r="AB4" s="18" t="s">
        <v>29</v>
      </c>
      <c r="AC4" s="14" t="s">
        <v>46</v>
      </c>
      <c r="AD4" s="14" t="s">
        <v>45</v>
      </c>
      <c r="AE4" s="14" t="s">
        <v>30</v>
      </c>
      <c r="AF4" s="14" t="s">
        <v>31</v>
      </c>
      <c r="AG4" s="6" t="s">
        <v>130</v>
      </c>
      <c r="AH4" s="43" t="s">
        <v>131</v>
      </c>
      <c r="AI4" s="6" t="s">
        <v>42</v>
      </c>
      <c r="AJ4" s="6" t="s">
        <v>41</v>
      </c>
      <c r="AK4" s="6" t="s">
        <v>40</v>
      </c>
      <c r="AL4" s="20" t="s">
        <v>39</v>
      </c>
      <c r="AM4" s="39" t="s">
        <v>38</v>
      </c>
      <c r="AN4" s="20" t="s">
        <v>44</v>
      </c>
      <c r="AO4" s="20" t="s">
        <v>32</v>
      </c>
      <c r="AP4" s="20" t="s">
        <v>37</v>
      </c>
      <c r="AQ4" s="20" t="s">
        <v>36</v>
      </c>
      <c r="AR4" s="20" t="s">
        <v>43</v>
      </c>
      <c r="AS4" s="20" t="s">
        <v>35</v>
      </c>
      <c r="AT4" s="20" t="s">
        <v>34</v>
      </c>
      <c r="AU4" s="20" t="s">
        <v>33</v>
      </c>
      <c r="AV4" s="41" t="s">
        <v>114</v>
      </c>
      <c r="AW4" s="41" t="s">
        <v>115</v>
      </c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s="2" customFormat="1" ht="14.15" customHeight="1" x14ac:dyDescent="0.4">
      <c r="A5" s="21">
        <v>100</v>
      </c>
      <c r="B5" s="21" t="s">
        <v>94</v>
      </c>
      <c r="C5" s="21">
        <v>112.282453</v>
      </c>
      <c r="D5" s="21">
        <v>620213.9</v>
      </c>
      <c r="E5" s="21">
        <v>6082124.7000000002</v>
      </c>
      <c r="F5" s="21">
        <v>828.2</v>
      </c>
      <c r="G5" s="21">
        <v>14</v>
      </c>
      <c r="H5" s="21">
        <v>0</v>
      </c>
      <c r="I5" s="21">
        <v>57.7</v>
      </c>
      <c r="J5" s="21">
        <v>0</v>
      </c>
      <c r="K5" s="21">
        <v>100</v>
      </c>
      <c r="L5" s="21">
        <v>3.5</v>
      </c>
      <c r="M5" s="21">
        <v>100</v>
      </c>
      <c r="N5" s="21">
        <v>0</v>
      </c>
      <c r="O5" s="35">
        <v>5</v>
      </c>
      <c r="P5" s="21">
        <v>90</v>
      </c>
      <c r="Q5" s="4">
        <v>781.16</v>
      </c>
      <c r="R5" s="4">
        <v>30.899999619999999</v>
      </c>
      <c r="S5" s="4">
        <f>IF(H5=1,($K5*$L5)*($M5/100),($I5*$L5)*($M5/100))</f>
        <v>201.95000000000002</v>
      </c>
      <c r="T5" s="5">
        <f t="shared" ref="T5:T51" si="0">(-1.5+6.51)/(1+EXP(0.94-5.3*SIN(RADIANS($G5))))</f>
        <v>2.9294544238463396</v>
      </c>
      <c r="U5" s="8">
        <f t="shared" ref="U5:U51" si="1">2.67*$P5+84.69*T5</f>
        <v>488.39549515554648</v>
      </c>
      <c r="V5" s="8">
        <f t="shared" ref="V5:V51" si="2">U5*$Q5</f>
        <v>381515.02499570668</v>
      </c>
      <c r="W5" s="3">
        <f t="shared" ref="W5:W51" si="3">V5*(100*100)</f>
        <v>3815150249.957067</v>
      </c>
      <c r="X5" s="5">
        <f t="shared" ref="X5:X51" si="4">W5/(1000*1000*1000)</f>
        <v>3.8151502499570671</v>
      </c>
      <c r="Y5" s="3">
        <f>0.5</f>
        <v>0.5</v>
      </c>
      <c r="Z5" s="3">
        <f t="shared" ref="Z5:Z51" si="5">11.74</f>
        <v>11.74</v>
      </c>
      <c r="AA5" s="3">
        <f t="shared" ref="AA5:AA51" si="6">336/1000</f>
        <v>0.33600000000000002</v>
      </c>
      <c r="AB5" s="5">
        <f>((S5)*(R5-Z5)*Y5/1000)</f>
        <v>1.9346809616295002</v>
      </c>
      <c r="AC5" s="8">
        <f t="shared" ref="AC5:AC51" si="7">IF(AB5-(C5*AA5/5)&gt;0,AB5-(C5*AA5/5),0)</f>
        <v>0</v>
      </c>
      <c r="AD5" s="8">
        <f t="shared" ref="AD5:AD51" si="8">IF((AF5-C5)/AF5*AB5&gt;0,(AF5-C5)/AF5*AB5,0)</f>
        <v>0</v>
      </c>
      <c r="AE5" s="8">
        <f t="shared" ref="AE5:AE51" si="9">5*AB5/AA5</f>
        <v>28.789895262343752</v>
      </c>
      <c r="AF5" s="8">
        <f t="shared" ref="AF5:AF51" si="10">AE5*3</f>
        <v>86.369685787031258</v>
      </c>
      <c r="AG5" s="3">
        <f t="shared" ref="AG5:AG51" si="11">IFERROR(IF(AJ5&lt;AK5,0,1),"")</f>
        <v>0</v>
      </c>
      <c r="AH5" s="44">
        <f t="shared" ref="AH5:AH51" si="12">N5</f>
        <v>0</v>
      </c>
      <c r="AI5" s="9">
        <f t="shared" ref="AI5:AI51" si="13">O5</f>
        <v>5</v>
      </c>
      <c r="AJ5" s="3">
        <f>S5</f>
        <v>201.95000000000002</v>
      </c>
      <c r="AK5" s="3">
        <f t="shared" ref="AK5:AK51" si="14">IFERROR(70/SIN(RADIANS(AI5)),"")</f>
        <v>803.15992719688995</v>
      </c>
      <c r="AL5" s="3">
        <f t="shared" ref="AL5:AL51" si="15">IF(AH5=1,AD5,AC5)</f>
        <v>0</v>
      </c>
      <c r="AM5" s="3">
        <f t="shared" ref="AM5:AM51" si="16">AJ5/(100*100)</f>
        <v>2.0195000000000001E-2</v>
      </c>
      <c r="AN5" s="9">
        <f t="shared" ref="AN5:AN51" si="17">AM5*X5</f>
        <v>7.704695929788298E-2</v>
      </c>
      <c r="AO5" s="3">
        <f t="shared" ref="AO5:AO51" si="18">AN5*1000*1000</f>
        <v>77046.959297882975</v>
      </c>
      <c r="AP5" s="8">
        <f t="shared" ref="AP5:AP51" si="19">AO5/(AB5*1000)</f>
        <v>39.824116133850602</v>
      </c>
      <c r="AQ5" s="10">
        <f t="shared" ref="AQ5:AQ51" si="20">$C5/AF5*100</f>
        <v>130.00215524329215</v>
      </c>
      <c r="AR5" s="10">
        <f t="shared" ref="AR5:AR51" si="21">($C5/AE5)*100</f>
        <v>390.00646572987642</v>
      </c>
      <c r="AS5" s="8">
        <f>AP5*EXP(-0.0156*AQ5)</f>
        <v>5.2406159545508908</v>
      </c>
      <c r="AT5" s="8">
        <f t="shared" ref="AT5:AT51" si="22">AP5*EXP(-0.0156*AR5)</f>
        <v>9.0751688169847161E-2</v>
      </c>
      <c r="AU5" s="8">
        <f t="shared" ref="AU5:AU51" si="23">IF(AH5=1,AS5*AD5,AT5*AC5)</f>
        <v>0</v>
      </c>
      <c r="AV5" s="38">
        <f t="shared" ref="AV5:AV51" si="24">IF((C5-AE5)&gt;0,(C5-AE5),0)</f>
        <v>83.492557737656256</v>
      </c>
      <c r="AW5" s="38">
        <f t="shared" ref="AW5:AW51" si="25">IF((C5-AF5)&gt;0,(C5-AF5),0)</f>
        <v>25.912767212968745</v>
      </c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s="2" customFormat="1" x14ac:dyDescent="0.4">
      <c r="A6" s="21">
        <v>91</v>
      </c>
      <c r="B6" s="21" t="s">
        <v>94</v>
      </c>
      <c r="C6" s="21">
        <v>61.332389999999997</v>
      </c>
      <c r="D6" s="21">
        <v>619988.69999999995</v>
      </c>
      <c r="E6" s="21">
        <v>6082088.5</v>
      </c>
      <c r="F6" s="21">
        <v>828.3</v>
      </c>
      <c r="G6" s="21">
        <v>2</v>
      </c>
      <c r="H6" s="21">
        <v>0</v>
      </c>
      <c r="I6" s="21">
        <v>19.29</v>
      </c>
      <c r="J6" s="21">
        <v>0</v>
      </c>
      <c r="K6" s="21">
        <v>100</v>
      </c>
      <c r="L6" s="21">
        <v>3.1</v>
      </c>
      <c r="M6" s="21">
        <v>100</v>
      </c>
      <c r="N6" s="21">
        <v>0</v>
      </c>
      <c r="O6" s="35">
        <v>13</v>
      </c>
      <c r="P6" s="21">
        <v>90</v>
      </c>
      <c r="Q6" s="4">
        <v>781.16</v>
      </c>
      <c r="R6" s="4">
        <v>30.899999619999999</v>
      </c>
      <c r="S6" s="4">
        <f t="shared" ref="S6:S51" si="26">IF(H6=1,($K6*$L6)*($M6/100),($I6*$L6)*($M6/100))</f>
        <v>59.798999999999999</v>
      </c>
      <c r="T6" s="5">
        <f t="shared" si="0"/>
        <v>1.6018257472049382</v>
      </c>
      <c r="U6" s="8">
        <f t="shared" si="1"/>
        <v>375.95862253078622</v>
      </c>
      <c r="V6" s="8">
        <f t="shared" si="2"/>
        <v>293683.83757614897</v>
      </c>
      <c r="W6" s="3">
        <f t="shared" si="3"/>
        <v>2936838375.7614899</v>
      </c>
      <c r="X6" s="5">
        <f t="shared" si="4"/>
        <v>2.9368383757614898</v>
      </c>
      <c r="Y6" s="3">
        <f t="shared" ref="Y6:Y51" si="27">0.5</f>
        <v>0.5</v>
      </c>
      <c r="Z6" s="3">
        <f t="shared" si="5"/>
        <v>11.74</v>
      </c>
      <c r="AA6" s="3">
        <f t="shared" si="6"/>
        <v>0.33600000000000002</v>
      </c>
      <c r="AB6" s="5">
        <f>((S6)*(R6-Z6)*Y6/1000)</f>
        <v>0.57287440863819006</v>
      </c>
      <c r="AC6" s="8">
        <f t="shared" si="7"/>
        <v>0</v>
      </c>
      <c r="AD6" s="8">
        <f t="shared" si="8"/>
        <v>0</v>
      </c>
      <c r="AE6" s="8">
        <f>5*AB6/AA6</f>
        <v>8.5249167952111602</v>
      </c>
      <c r="AF6" s="8">
        <f>AE6*3</f>
        <v>25.574750385633479</v>
      </c>
      <c r="AG6" s="3">
        <f t="shared" si="11"/>
        <v>0</v>
      </c>
      <c r="AH6" s="3">
        <f t="shared" si="12"/>
        <v>0</v>
      </c>
      <c r="AI6" s="9">
        <f t="shared" si="13"/>
        <v>13</v>
      </c>
      <c r="AJ6" s="3">
        <f t="shared" ref="AJ6:AJ51" si="28">S6</f>
        <v>59.798999999999999</v>
      </c>
      <c r="AK6" s="3">
        <f t="shared" si="14"/>
        <v>311.17880378100608</v>
      </c>
      <c r="AL6" s="3">
        <f t="shared" si="15"/>
        <v>0</v>
      </c>
      <c r="AM6" s="3">
        <f t="shared" si="16"/>
        <v>5.9798999999999998E-3</v>
      </c>
      <c r="AN6" s="9">
        <f t="shared" si="17"/>
        <v>1.7561999803216131E-2</v>
      </c>
      <c r="AO6" s="3">
        <f t="shared" si="18"/>
        <v>17561.999803216131</v>
      </c>
      <c r="AP6" s="8">
        <f t="shared" si="19"/>
        <v>30.655933549141576</v>
      </c>
      <c r="AQ6" s="10">
        <f t="shared" si="20"/>
        <v>239.81618227035847</v>
      </c>
      <c r="AR6" s="10">
        <f t="shared" si="21"/>
        <v>719.44854681107552</v>
      </c>
      <c r="AS6" s="8">
        <f t="shared" ref="AS6:AS51" si="29">AP6*EXP(-0.0156*AQ6)</f>
        <v>0.72738002381029199</v>
      </c>
      <c r="AT6" s="8">
        <f t="shared" si="22"/>
        <v>4.0950104773767839E-4</v>
      </c>
      <c r="AU6" s="8">
        <f t="shared" si="23"/>
        <v>0</v>
      </c>
      <c r="AV6" s="38">
        <f t="shared" si="24"/>
        <v>52.807473204788835</v>
      </c>
      <c r="AW6" s="38">
        <f t="shared" si="25"/>
        <v>35.757639614366518</v>
      </c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s="2" customFormat="1" x14ac:dyDescent="0.4">
      <c r="A7" s="21">
        <v>98</v>
      </c>
      <c r="B7" s="21" t="s">
        <v>94</v>
      </c>
      <c r="C7" s="21">
        <v>103.495987</v>
      </c>
      <c r="D7" s="21">
        <v>620124.19999999995</v>
      </c>
      <c r="E7" s="21">
        <v>6082077.4000000004</v>
      </c>
      <c r="F7" s="21">
        <v>830.6</v>
      </c>
      <c r="G7" s="21">
        <v>8</v>
      </c>
      <c r="H7" s="21">
        <v>0</v>
      </c>
      <c r="I7" s="21">
        <v>48.57</v>
      </c>
      <c r="J7" s="21">
        <v>0</v>
      </c>
      <c r="K7" s="21">
        <v>100</v>
      </c>
      <c r="L7" s="21">
        <v>3.8</v>
      </c>
      <c r="M7" s="21">
        <v>100</v>
      </c>
      <c r="N7" s="21">
        <v>0</v>
      </c>
      <c r="O7" s="35">
        <v>7</v>
      </c>
      <c r="P7" s="21">
        <v>90</v>
      </c>
      <c r="Q7" s="4">
        <v>781.16</v>
      </c>
      <c r="R7" s="4">
        <v>30.899999619999999</v>
      </c>
      <c r="S7" s="4">
        <f t="shared" si="26"/>
        <v>184.566</v>
      </c>
      <c r="T7" s="5">
        <f t="shared" si="0"/>
        <v>2.2523775068692409</v>
      </c>
      <c r="U7" s="8">
        <f t="shared" si="1"/>
        <v>431.053851056756</v>
      </c>
      <c r="V7" s="8">
        <f t="shared" si="2"/>
        <v>336722.02629149548</v>
      </c>
      <c r="W7" s="3">
        <f t="shared" si="3"/>
        <v>3367220262.9149547</v>
      </c>
      <c r="X7" s="5">
        <f t="shared" si="4"/>
        <v>3.3672202629149548</v>
      </c>
      <c r="Y7" s="3">
        <f t="shared" si="27"/>
        <v>0.5</v>
      </c>
      <c r="Z7" s="3">
        <f t="shared" si="5"/>
        <v>11.74</v>
      </c>
      <c r="AA7" s="3">
        <f t="shared" si="6"/>
        <v>0.33600000000000002</v>
      </c>
      <c r="AB7" s="5">
        <f t="shared" ref="AB7:AB51" si="30">((S7)*(R7-Z7)*Y7/1000)</f>
        <v>1.76814224493246</v>
      </c>
      <c r="AC7" s="8">
        <f t="shared" si="7"/>
        <v>0</v>
      </c>
      <c r="AD7" s="8">
        <f t="shared" si="8"/>
        <v>0</v>
      </c>
      <c r="AE7" s="8">
        <f t="shared" si="9"/>
        <v>26.311640549590177</v>
      </c>
      <c r="AF7" s="8">
        <f t="shared" si="10"/>
        <v>78.934921648770526</v>
      </c>
      <c r="AG7" s="3">
        <f t="shared" si="11"/>
        <v>0</v>
      </c>
      <c r="AH7" s="3">
        <f t="shared" si="12"/>
        <v>0</v>
      </c>
      <c r="AI7" s="9">
        <f t="shared" si="13"/>
        <v>7</v>
      </c>
      <c r="AJ7" s="3">
        <f t="shared" si="28"/>
        <v>184.566</v>
      </c>
      <c r="AK7" s="3">
        <f t="shared" si="14"/>
        <v>574.38563336875552</v>
      </c>
      <c r="AL7" s="3">
        <f t="shared" si="15"/>
        <v>0</v>
      </c>
      <c r="AM7" s="3">
        <f t="shared" si="16"/>
        <v>1.84566E-2</v>
      </c>
      <c r="AN7" s="9">
        <f t="shared" si="17"/>
        <v>6.2147437504516158E-2</v>
      </c>
      <c r="AO7" s="3">
        <f t="shared" si="18"/>
        <v>62147.437504516158</v>
      </c>
      <c r="AP7" s="8">
        <f t="shared" si="19"/>
        <v>35.148437679509257</v>
      </c>
      <c r="AQ7" s="10">
        <f t="shared" si="20"/>
        <v>131.11558843437712</v>
      </c>
      <c r="AR7" s="10">
        <f t="shared" si="21"/>
        <v>393.34676530313129</v>
      </c>
      <c r="AS7" s="8">
        <f t="shared" si="29"/>
        <v>4.5456784501629954</v>
      </c>
      <c r="AT7" s="8">
        <f t="shared" si="22"/>
        <v>7.602984117666442E-2</v>
      </c>
      <c r="AU7" s="8">
        <f t="shared" si="23"/>
        <v>0</v>
      </c>
      <c r="AV7" s="38">
        <f t="shared" si="24"/>
        <v>77.184346450409819</v>
      </c>
      <c r="AW7" s="38">
        <f t="shared" si="25"/>
        <v>24.561065351229473</v>
      </c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4" s="2" customFormat="1" x14ac:dyDescent="0.4">
      <c r="A8" s="21">
        <v>56</v>
      </c>
      <c r="B8" s="21" t="s">
        <v>94</v>
      </c>
      <c r="C8" s="21">
        <v>29.886575000000001</v>
      </c>
      <c r="D8" s="21">
        <v>619330</v>
      </c>
      <c r="E8" s="21">
        <v>6081096.7999999998</v>
      </c>
      <c r="F8" s="21">
        <v>720.4</v>
      </c>
      <c r="G8" s="21">
        <v>11</v>
      </c>
      <c r="H8" s="21">
        <v>0</v>
      </c>
      <c r="I8" s="21">
        <v>31.4</v>
      </c>
      <c r="J8" s="21">
        <v>0</v>
      </c>
      <c r="K8" s="21">
        <v>100</v>
      </c>
      <c r="L8" s="21">
        <v>3.2</v>
      </c>
      <c r="M8" s="21">
        <v>100</v>
      </c>
      <c r="N8" s="21">
        <v>0</v>
      </c>
      <c r="O8" s="35">
        <v>11</v>
      </c>
      <c r="P8" s="21">
        <v>90</v>
      </c>
      <c r="Q8" s="4">
        <v>781.16</v>
      </c>
      <c r="R8" s="4">
        <v>30.899999619999999</v>
      </c>
      <c r="S8" s="4">
        <f t="shared" si="26"/>
        <v>100.48</v>
      </c>
      <c r="T8" s="5">
        <f t="shared" si="0"/>
        <v>2.5942500198766076</v>
      </c>
      <c r="U8" s="8">
        <f t="shared" si="1"/>
        <v>460.0070341833499</v>
      </c>
      <c r="V8" s="8">
        <f t="shared" si="2"/>
        <v>359339.09482266562</v>
      </c>
      <c r="W8" s="3">
        <f t="shared" si="3"/>
        <v>3593390948.226656</v>
      </c>
      <c r="X8" s="5">
        <f t="shared" si="4"/>
        <v>3.5933909482266562</v>
      </c>
      <c r="Y8" s="3">
        <f t="shared" si="27"/>
        <v>0.5</v>
      </c>
      <c r="Z8" s="3">
        <f t="shared" si="5"/>
        <v>11.74</v>
      </c>
      <c r="AA8" s="3">
        <f t="shared" si="6"/>
        <v>0.33600000000000002</v>
      </c>
      <c r="AB8" s="5">
        <f t="shared" si="30"/>
        <v>0.96259838090880012</v>
      </c>
      <c r="AC8" s="8">
        <f t="shared" si="7"/>
        <v>0</v>
      </c>
      <c r="AD8" s="8">
        <f t="shared" si="8"/>
        <v>0.29313910090880019</v>
      </c>
      <c r="AE8" s="8">
        <f t="shared" si="9"/>
        <v>14.324380668285716</v>
      </c>
      <c r="AF8" s="8">
        <f t="shared" si="10"/>
        <v>42.973142004857152</v>
      </c>
      <c r="AG8" s="3">
        <f t="shared" si="11"/>
        <v>0</v>
      </c>
      <c r="AH8" s="3">
        <f t="shared" si="12"/>
        <v>0</v>
      </c>
      <c r="AI8" s="9">
        <f t="shared" si="13"/>
        <v>11</v>
      </c>
      <c r="AJ8" s="3">
        <f t="shared" si="28"/>
        <v>100.48</v>
      </c>
      <c r="AK8" s="3">
        <f t="shared" si="14"/>
        <v>366.85901449174941</v>
      </c>
      <c r="AL8" s="3">
        <f t="shared" si="15"/>
        <v>0</v>
      </c>
      <c r="AM8" s="3">
        <f t="shared" si="16"/>
        <v>1.0048E-2</v>
      </c>
      <c r="AN8" s="9">
        <f t="shared" si="17"/>
        <v>3.6106392247781442E-2</v>
      </c>
      <c r="AO8" s="3">
        <f t="shared" si="18"/>
        <v>36106.392247781441</v>
      </c>
      <c r="AP8" s="8">
        <f t="shared" si="19"/>
        <v>37.509300829794647</v>
      </c>
      <c r="AQ8" s="10">
        <f t="shared" si="20"/>
        <v>69.547102226367329</v>
      </c>
      <c r="AR8" s="10">
        <f t="shared" si="21"/>
        <v>208.641306679102</v>
      </c>
      <c r="AS8" s="8">
        <f t="shared" si="29"/>
        <v>12.675286206546872</v>
      </c>
      <c r="AT8" s="8">
        <f t="shared" si="22"/>
        <v>1.4474227195933804</v>
      </c>
      <c r="AU8" s="8">
        <f t="shared" si="23"/>
        <v>0</v>
      </c>
      <c r="AV8" s="38">
        <f t="shared" si="24"/>
        <v>15.562194331714284</v>
      </c>
      <c r="AW8" s="38">
        <f t="shared" si="25"/>
        <v>0</v>
      </c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4" s="2" customFormat="1" x14ac:dyDescent="0.4">
      <c r="A9" s="21">
        <v>59</v>
      </c>
      <c r="B9" s="21" t="s">
        <v>94</v>
      </c>
      <c r="C9" s="21">
        <v>117.807294</v>
      </c>
      <c r="D9" s="21">
        <v>619441.4</v>
      </c>
      <c r="E9" s="21">
        <v>6081181.7999999998</v>
      </c>
      <c r="F9" s="21">
        <v>730.2</v>
      </c>
      <c r="G9" s="21">
        <v>12</v>
      </c>
      <c r="H9" s="21">
        <v>0</v>
      </c>
      <c r="I9" s="21">
        <v>77.89</v>
      </c>
      <c r="J9" s="21">
        <v>0</v>
      </c>
      <c r="K9" s="21">
        <v>100</v>
      </c>
      <c r="L9" s="21">
        <v>2.8</v>
      </c>
      <c r="M9" s="21">
        <v>100</v>
      </c>
      <c r="N9" s="21">
        <v>0</v>
      </c>
      <c r="O9" s="35">
        <v>12</v>
      </c>
      <c r="P9" s="21">
        <v>90</v>
      </c>
      <c r="Q9" s="4">
        <v>781.16</v>
      </c>
      <c r="R9" s="4">
        <v>30.899999619999999</v>
      </c>
      <c r="S9" s="4">
        <f t="shared" si="26"/>
        <v>218.09199999999998</v>
      </c>
      <c r="T9" s="5">
        <f t="shared" si="0"/>
        <v>2.7073777462862987</v>
      </c>
      <c r="U9" s="8">
        <f t="shared" si="1"/>
        <v>469.58782133298661</v>
      </c>
      <c r="V9" s="8">
        <f t="shared" si="2"/>
        <v>366823.2225124758</v>
      </c>
      <c r="W9" s="3">
        <f t="shared" si="3"/>
        <v>3668232225.1247578</v>
      </c>
      <c r="X9" s="5">
        <f t="shared" si="4"/>
        <v>3.6682322251247577</v>
      </c>
      <c r="Y9" s="3">
        <f t="shared" si="27"/>
        <v>0.5</v>
      </c>
      <c r="Z9" s="3">
        <f t="shared" si="5"/>
        <v>11.74</v>
      </c>
      <c r="AA9" s="3">
        <f t="shared" si="6"/>
        <v>0.33600000000000002</v>
      </c>
      <c r="AB9" s="5">
        <f t="shared" si="30"/>
        <v>2.0893213185625199</v>
      </c>
      <c r="AC9" s="8">
        <f t="shared" si="7"/>
        <v>0</v>
      </c>
      <c r="AD9" s="8">
        <f t="shared" si="8"/>
        <v>0</v>
      </c>
      <c r="AE9" s="8">
        <f t="shared" si="9"/>
        <v>31.091091050037498</v>
      </c>
      <c r="AF9" s="8">
        <f t="shared" si="10"/>
        <v>93.273273150112487</v>
      </c>
      <c r="AG9" s="3">
        <f t="shared" si="11"/>
        <v>0</v>
      </c>
      <c r="AH9" s="3">
        <f t="shared" si="12"/>
        <v>0</v>
      </c>
      <c r="AI9" s="9">
        <f t="shared" si="13"/>
        <v>12</v>
      </c>
      <c r="AJ9" s="3">
        <f t="shared" si="28"/>
        <v>218.09199999999998</v>
      </c>
      <c r="AK9" s="3">
        <f t="shared" si="14"/>
        <v>336.68140413208914</v>
      </c>
      <c r="AL9" s="3">
        <f t="shared" si="15"/>
        <v>0</v>
      </c>
      <c r="AM9" s="3">
        <f t="shared" si="16"/>
        <v>2.1809199999999997E-2</v>
      </c>
      <c r="AN9" s="9">
        <f t="shared" si="17"/>
        <v>8.0001210244190851E-2</v>
      </c>
      <c r="AO9" s="3">
        <f t="shared" si="18"/>
        <v>80001.210244190865</v>
      </c>
      <c r="AP9" s="8">
        <f t="shared" si="19"/>
        <v>38.290525030028761</v>
      </c>
      <c r="AQ9" s="10">
        <f t="shared" si="20"/>
        <v>126.30337718544824</v>
      </c>
      <c r="AR9" s="10">
        <f t="shared" si="21"/>
        <v>378.91013155634471</v>
      </c>
      <c r="AS9" s="8">
        <f t="shared" si="29"/>
        <v>5.3381000470992941</v>
      </c>
      <c r="AT9" s="8">
        <f t="shared" si="22"/>
        <v>0.10374746281683987</v>
      </c>
      <c r="AU9" s="8">
        <f t="shared" si="23"/>
        <v>0</v>
      </c>
      <c r="AV9" s="38">
        <f t="shared" si="24"/>
        <v>86.716202949962508</v>
      </c>
      <c r="AW9" s="38">
        <f t="shared" si="25"/>
        <v>24.534020849887511</v>
      </c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4" s="2" customFormat="1" x14ac:dyDescent="0.4">
      <c r="A10" s="21">
        <v>68</v>
      </c>
      <c r="B10" s="21" t="s">
        <v>94</v>
      </c>
      <c r="C10" s="21">
        <v>2.5927039999999999</v>
      </c>
      <c r="D10" s="21">
        <v>619688.80000000005</v>
      </c>
      <c r="E10" s="21">
        <v>6081429.2999999998</v>
      </c>
      <c r="F10" s="21">
        <v>748.3</v>
      </c>
      <c r="G10" s="21">
        <v>11</v>
      </c>
      <c r="H10" s="21">
        <v>0</v>
      </c>
      <c r="I10" s="21">
        <v>77.97</v>
      </c>
      <c r="J10" s="21">
        <v>0</v>
      </c>
      <c r="K10" s="21">
        <v>100</v>
      </c>
      <c r="L10" s="21">
        <v>2.7</v>
      </c>
      <c r="M10" s="21">
        <v>100</v>
      </c>
      <c r="N10" s="21">
        <v>0</v>
      </c>
      <c r="O10" s="35">
        <v>8</v>
      </c>
      <c r="P10" s="21">
        <v>90</v>
      </c>
      <c r="Q10" s="4">
        <v>781.16</v>
      </c>
      <c r="R10" s="4">
        <v>30.899999619999999</v>
      </c>
      <c r="S10" s="4">
        <f t="shared" si="26"/>
        <v>210.51900000000001</v>
      </c>
      <c r="T10" s="5">
        <f t="shared" si="0"/>
        <v>2.5942500198766076</v>
      </c>
      <c r="U10" s="8">
        <f t="shared" si="1"/>
        <v>460.0070341833499</v>
      </c>
      <c r="V10" s="8">
        <f t="shared" si="2"/>
        <v>359339.09482266562</v>
      </c>
      <c r="W10" s="3">
        <f t="shared" si="3"/>
        <v>3593390948.226656</v>
      </c>
      <c r="X10" s="5">
        <f t="shared" si="4"/>
        <v>3.5933909482266562</v>
      </c>
      <c r="Y10" s="3">
        <f t="shared" si="27"/>
        <v>0.5</v>
      </c>
      <c r="Z10" s="3">
        <f t="shared" si="5"/>
        <v>11.74</v>
      </c>
      <c r="AA10" s="3">
        <f t="shared" si="6"/>
        <v>0.33600000000000002</v>
      </c>
      <c r="AB10" s="5">
        <f t="shared" si="30"/>
        <v>2.0167719800013901</v>
      </c>
      <c r="AC10" s="8">
        <f t="shared" si="7"/>
        <v>1.8425422712013901</v>
      </c>
      <c r="AD10" s="8">
        <f t="shared" si="8"/>
        <v>1.9586954104013903</v>
      </c>
      <c r="AE10" s="8">
        <f t="shared" si="9"/>
        <v>30.011487797639735</v>
      </c>
      <c r="AF10" s="8">
        <f t="shared" si="10"/>
        <v>90.034463392919207</v>
      </c>
      <c r="AG10" s="3">
        <f t="shared" si="11"/>
        <v>0</v>
      </c>
      <c r="AH10" s="3">
        <f t="shared" si="12"/>
        <v>0</v>
      </c>
      <c r="AI10" s="9">
        <f t="shared" si="13"/>
        <v>8</v>
      </c>
      <c r="AJ10" s="3">
        <f t="shared" si="28"/>
        <v>210.51900000000001</v>
      </c>
      <c r="AK10" s="3">
        <f t="shared" si="14"/>
        <v>502.97075740294036</v>
      </c>
      <c r="AL10" s="3">
        <f t="shared" si="15"/>
        <v>1.8425422712013901</v>
      </c>
      <c r="AM10" s="3">
        <f t="shared" si="16"/>
        <v>2.1051900000000002E-2</v>
      </c>
      <c r="AN10" s="9">
        <f t="shared" si="17"/>
        <v>7.5647706902972747E-2</v>
      </c>
      <c r="AO10" s="3">
        <f t="shared" si="18"/>
        <v>75647.706902972743</v>
      </c>
      <c r="AP10" s="8">
        <f t="shared" si="19"/>
        <v>37.509300829794647</v>
      </c>
      <c r="AQ10" s="10">
        <f t="shared" si="20"/>
        <v>2.8796795163705102</v>
      </c>
      <c r="AR10" s="10">
        <f t="shared" si="21"/>
        <v>8.6390385491115307</v>
      </c>
      <c r="AS10" s="8">
        <f t="shared" si="29"/>
        <v>35.861558355959055</v>
      </c>
      <c r="AT10" s="8">
        <f t="shared" si="22"/>
        <v>32.780044242212313</v>
      </c>
      <c r="AU10" s="8">
        <f t="shared" si="23"/>
        <v>60.398617168127927</v>
      </c>
      <c r="AV10" s="38">
        <f t="shared" si="24"/>
        <v>0</v>
      </c>
      <c r="AW10" s="38">
        <f t="shared" si="25"/>
        <v>0</v>
      </c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</row>
    <row r="11" spans="1:64" s="2" customFormat="1" x14ac:dyDescent="0.4">
      <c r="A11" s="21">
        <v>120</v>
      </c>
      <c r="B11" s="21" t="s">
        <v>94</v>
      </c>
      <c r="C11" s="21">
        <v>34.616855000000001</v>
      </c>
      <c r="D11" s="21">
        <v>620463.1</v>
      </c>
      <c r="E11" s="21">
        <v>6082664.5</v>
      </c>
      <c r="F11" s="21">
        <v>748.3</v>
      </c>
      <c r="G11" s="21">
        <v>10</v>
      </c>
      <c r="H11" s="21">
        <v>0</v>
      </c>
      <c r="I11" s="21">
        <v>22</v>
      </c>
      <c r="J11" s="21">
        <v>0</v>
      </c>
      <c r="K11" s="21">
        <v>100</v>
      </c>
      <c r="L11" s="21">
        <v>3.5</v>
      </c>
      <c r="M11" s="21">
        <v>100</v>
      </c>
      <c r="N11" s="21">
        <v>0</v>
      </c>
      <c r="O11" s="35">
        <v>12</v>
      </c>
      <c r="P11" s="21">
        <v>90</v>
      </c>
      <c r="Q11" s="4">
        <v>781.16</v>
      </c>
      <c r="R11" s="4">
        <v>30.899999619999999</v>
      </c>
      <c r="S11" s="4">
        <f t="shared" si="26"/>
        <v>77</v>
      </c>
      <c r="T11" s="5">
        <f t="shared" si="0"/>
        <v>2.4803708090655769</v>
      </c>
      <c r="U11" s="8">
        <f t="shared" si="1"/>
        <v>450.36260381976365</v>
      </c>
      <c r="V11" s="8">
        <f t="shared" si="2"/>
        <v>351805.25159984658</v>
      </c>
      <c r="W11" s="3">
        <f t="shared" si="3"/>
        <v>3518052515.998466</v>
      </c>
      <c r="X11" s="5">
        <f t="shared" si="4"/>
        <v>3.5180525159984661</v>
      </c>
      <c r="Y11" s="3">
        <f t="shared" si="27"/>
        <v>0.5</v>
      </c>
      <c r="Z11" s="3">
        <f t="shared" si="5"/>
        <v>11.74</v>
      </c>
      <c r="AA11" s="3">
        <f t="shared" si="6"/>
        <v>0.33600000000000002</v>
      </c>
      <c r="AB11" s="5">
        <f t="shared" si="30"/>
        <v>0.7376599853700001</v>
      </c>
      <c r="AC11" s="8">
        <f t="shared" si="7"/>
        <v>0</v>
      </c>
      <c r="AD11" s="8">
        <f t="shared" si="8"/>
        <v>0</v>
      </c>
      <c r="AE11" s="8">
        <f t="shared" si="9"/>
        <v>10.977083115625001</v>
      </c>
      <c r="AF11" s="8">
        <f t="shared" si="10"/>
        <v>32.931249346875006</v>
      </c>
      <c r="AG11" s="3">
        <f t="shared" si="11"/>
        <v>0</v>
      </c>
      <c r="AH11" s="3">
        <f t="shared" si="12"/>
        <v>0</v>
      </c>
      <c r="AI11" s="9">
        <f t="shared" si="13"/>
        <v>12</v>
      </c>
      <c r="AJ11" s="3">
        <f t="shared" si="28"/>
        <v>77</v>
      </c>
      <c r="AK11" s="3">
        <f t="shared" si="14"/>
        <v>336.68140413208914</v>
      </c>
      <c r="AL11" s="3">
        <f t="shared" si="15"/>
        <v>0</v>
      </c>
      <c r="AM11" s="3">
        <f t="shared" si="16"/>
        <v>7.7000000000000002E-3</v>
      </c>
      <c r="AN11" s="9">
        <f t="shared" si="17"/>
        <v>2.7089004373188189E-2</v>
      </c>
      <c r="AO11" s="3">
        <f t="shared" si="18"/>
        <v>27089.004373188189</v>
      </c>
      <c r="AP11" s="8">
        <f t="shared" si="19"/>
        <v>36.722887116617443</v>
      </c>
      <c r="AQ11" s="10">
        <f t="shared" si="20"/>
        <v>105.11855968587767</v>
      </c>
      <c r="AR11" s="10">
        <f t="shared" si="21"/>
        <v>315.35567905763304</v>
      </c>
      <c r="AS11" s="8">
        <f t="shared" si="29"/>
        <v>7.1245791428645262</v>
      </c>
      <c r="AT11" s="8">
        <f t="shared" si="22"/>
        <v>0.26816618283019428</v>
      </c>
      <c r="AU11" s="8">
        <f t="shared" si="23"/>
        <v>0</v>
      </c>
      <c r="AV11" s="38">
        <f t="shared" si="24"/>
        <v>23.639771884375001</v>
      </c>
      <c r="AW11" s="38">
        <f t="shared" si="25"/>
        <v>1.6856056531249948</v>
      </c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</row>
    <row r="12" spans="1:64" s="2" customFormat="1" x14ac:dyDescent="0.4">
      <c r="A12" s="21">
        <v>122</v>
      </c>
      <c r="B12" s="21" t="s">
        <v>94</v>
      </c>
      <c r="C12" s="21">
        <v>48.858932000000003</v>
      </c>
      <c r="D12" s="21">
        <v>620502.19999999995</v>
      </c>
      <c r="E12" s="21">
        <v>6082737.7000000002</v>
      </c>
      <c r="F12" s="21">
        <v>748.7</v>
      </c>
      <c r="G12" s="21">
        <v>11</v>
      </c>
      <c r="H12" s="21">
        <v>0</v>
      </c>
      <c r="I12" s="21">
        <v>33.700000000000003</v>
      </c>
      <c r="J12" s="21">
        <v>0</v>
      </c>
      <c r="K12" s="21">
        <v>100</v>
      </c>
      <c r="L12" s="21">
        <v>3.2</v>
      </c>
      <c r="M12" s="21">
        <v>100</v>
      </c>
      <c r="N12" s="21">
        <v>0</v>
      </c>
      <c r="O12" s="35">
        <v>6</v>
      </c>
      <c r="P12" s="21">
        <v>90</v>
      </c>
      <c r="Q12" s="4">
        <v>781.16</v>
      </c>
      <c r="R12" s="4">
        <v>30.899999619999999</v>
      </c>
      <c r="S12" s="4">
        <f t="shared" si="26"/>
        <v>107.84000000000002</v>
      </c>
      <c r="T12" s="5">
        <f t="shared" si="0"/>
        <v>2.5942500198766076</v>
      </c>
      <c r="U12" s="8">
        <f t="shared" si="1"/>
        <v>460.0070341833499</v>
      </c>
      <c r="V12" s="8">
        <f t="shared" si="2"/>
        <v>359339.09482266562</v>
      </c>
      <c r="W12" s="3">
        <f t="shared" si="3"/>
        <v>3593390948.226656</v>
      </c>
      <c r="X12" s="5">
        <f t="shared" si="4"/>
        <v>3.5933909482266562</v>
      </c>
      <c r="Y12" s="3">
        <f t="shared" si="27"/>
        <v>0.5</v>
      </c>
      <c r="Z12" s="3">
        <f t="shared" si="5"/>
        <v>11.74</v>
      </c>
      <c r="AA12" s="3">
        <f t="shared" si="6"/>
        <v>0.33600000000000002</v>
      </c>
      <c r="AB12" s="5">
        <f t="shared" si="30"/>
        <v>1.0331071795104001</v>
      </c>
      <c r="AC12" s="8">
        <f t="shared" si="7"/>
        <v>0</v>
      </c>
      <c r="AD12" s="8">
        <f t="shared" si="8"/>
        <v>0</v>
      </c>
      <c r="AE12" s="8">
        <f t="shared" si="9"/>
        <v>15.373618742714287</v>
      </c>
      <c r="AF12" s="8">
        <f t="shared" si="10"/>
        <v>46.120856228142863</v>
      </c>
      <c r="AG12" s="3">
        <f t="shared" si="11"/>
        <v>0</v>
      </c>
      <c r="AH12" s="3">
        <f t="shared" si="12"/>
        <v>0</v>
      </c>
      <c r="AI12" s="9">
        <f t="shared" si="13"/>
        <v>6</v>
      </c>
      <c r="AJ12" s="3">
        <f t="shared" si="28"/>
        <v>107.84000000000002</v>
      </c>
      <c r="AK12" s="3">
        <f t="shared" si="14"/>
        <v>669.67405634539386</v>
      </c>
      <c r="AL12" s="3">
        <f t="shared" si="15"/>
        <v>0</v>
      </c>
      <c r="AM12" s="3">
        <f t="shared" si="16"/>
        <v>1.0784000000000002E-2</v>
      </c>
      <c r="AN12" s="9">
        <f t="shared" si="17"/>
        <v>3.8751127985676266E-2</v>
      </c>
      <c r="AO12" s="3">
        <f t="shared" si="18"/>
        <v>38751.127985676263</v>
      </c>
      <c r="AP12" s="8">
        <f t="shared" si="19"/>
        <v>37.509300829794654</v>
      </c>
      <c r="AQ12" s="10">
        <f t="shared" si="20"/>
        <v>105.93674097964029</v>
      </c>
      <c r="AR12" s="10">
        <f t="shared" si="21"/>
        <v>317.8102229389209</v>
      </c>
      <c r="AS12" s="8">
        <f t="shared" si="29"/>
        <v>7.184858065595634</v>
      </c>
      <c r="AT12" s="8">
        <f t="shared" si="22"/>
        <v>0.26361895954728853</v>
      </c>
      <c r="AU12" s="8">
        <f t="shared" si="23"/>
        <v>0</v>
      </c>
      <c r="AV12" s="38">
        <f t="shared" si="24"/>
        <v>33.485313257285718</v>
      </c>
      <c r="AW12" s="38">
        <f t="shared" si="25"/>
        <v>2.7380757718571402</v>
      </c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</row>
    <row r="13" spans="1:64" s="2" customFormat="1" x14ac:dyDescent="0.4">
      <c r="A13" s="21">
        <v>69</v>
      </c>
      <c r="B13" s="21" t="s">
        <v>94</v>
      </c>
      <c r="C13" s="21">
        <v>49.795875000000002</v>
      </c>
      <c r="D13" s="21">
        <v>619712.5</v>
      </c>
      <c r="E13" s="21">
        <v>6081464.2999999998</v>
      </c>
      <c r="F13" s="21">
        <v>752.1</v>
      </c>
      <c r="G13" s="21">
        <v>11</v>
      </c>
      <c r="H13" s="21">
        <v>0</v>
      </c>
      <c r="I13" s="21">
        <v>34.200000000000003</v>
      </c>
      <c r="J13" s="21">
        <v>0</v>
      </c>
      <c r="K13" s="21">
        <v>100</v>
      </c>
      <c r="L13" s="21">
        <v>2.5</v>
      </c>
      <c r="M13" s="21">
        <v>100</v>
      </c>
      <c r="N13" s="21">
        <v>0</v>
      </c>
      <c r="O13" s="35">
        <v>7</v>
      </c>
      <c r="P13" s="21">
        <v>90</v>
      </c>
      <c r="Q13" s="4">
        <v>781.16</v>
      </c>
      <c r="R13" s="4">
        <v>30.899999619999999</v>
      </c>
      <c r="S13" s="4">
        <f t="shared" si="26"/>
        <v>85.5</v>
      </c>
      <c r="T13" s="5">
        <f t="shared" si="0"/>
        <v>2.5942500198766076</v>
      </c>
      <c r="U13" s="8">
        <f t="shared" si="1"/>
        <v>460.0070341833499</v>
      </c>
      <c r="V13" s="8">
        <f t="shared" si="2"/>
        <v>359339.09482266562</v>
      </c>
      <c r="W13" s="3">
        <f t="shared" si="3"/>
        <v>3593390948.226656</v>
      </c>
      <c r="X13" s="5">
        <f t="shared" si="4"/>
        <v>3.5933909482266562</v>
      </c>
      <c r="Y13" s="3">
        <f t="shared" si="27"/>
        <v>0.5</v>
      </c>
      <c r="Z13" s="3">
        <f t="shared" si="5"/>
        <v>11.74</v>
      </c>
      <c r="AA13" s="3">
        <f t="shared" si="6"/>
        <v>0.33600000000000002</v>
      </c>
      <c r="AB13" s="5">
        <f t="shared" si="30"/>
        <v>0.81908998375500008</v>
      </c>
      <c r="AC13" s="8">
        <f t="shared" si="7"/>
        <v>0</v>
      </c>
      <c r="AD13" s="8">
        <f t="shared" si="8"/>
        <v>0</v>
      </c>
      <c r="AE13" s="8">
        <f t="shared" si="9"/>
        <v>12.188839043973214</v>
      </c>
      <c r="AF13" s="8">
        <f t="shared" si="10"/>
        <v>36.566517131919639</v>
      </c>
      <c r="AG13" s="3">
        <f t="shared" si="11"/>
        <v>0</v>
      </c>
      <c r="AH13" s="3">
        <f t="shared" si="12"/>
        <v>0</v>
      </c>
      <c r="AI13" s="9">
        <f t="shared" si="13"/>
        <v>7</v>
      </c>
      <c r="AJ13" s="3">
        <f t="shared" si="28"/>
        <v>85.5</v>
      </c>
      <c r="AK13" s="3">
        <f t="shared" si="14"/>
        <v>574.38563336875552</v>
      </c>
      <c r="AL13" s="3">
        <f t="shared" si="15"/>
        <v>0</v>
      </c>
      <c r="AM13" s="3">
        <f t="shared" si="16"/>
        <v>8.5500000000000003E-3</v>
      </c>
      <c r="AN13" s="9">
        <f t="shared" si="17"/>
        <v>3.0723492607337911E-2</v>
      </c>
      <c r="AO13" s="3">
        <f t="shared" si="18"/>
        <v>30723.49260733791</v>
      </c>
      <c r="AP13" s="8">
        <f t="shared" si="19"/>
        <v>37.509300829794654</v>
      </c>
      <c r="AQ13" s="10">
        <f t="shared" si="20"/>
        <v>136.17888414243367</v>
      </c>
      <c r="AR13" s="10">
        <f t="shared" si="21"/>
        <v>408.53665242730096</v>
      </c>
      <c r="AS13" s="8">
        <f t="shared" si="29"/>
        <v>4.4825780196345653</v>
      </c>
      <c r="AT13" s="8">
        <f t="shared" si="22"/>
        <v>6.401852057419874E-2</v>
      </c>
      <c r="AU13" s="8">
        <f t="shared" si="23"/>
        <v>0</v>
      </c>
      <c r="AV13" s="38">
        <f t="shared" si="24"/>
        <v>37.607035956026792</v>
      </c>
      <c r="AW13" s="38">
        <f t="shared" si="25"/>
        <v>13.229357868080363</v>
      </c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</row>
    <row r="14" spans="1:64" x14ac:dyDescent="0.4">
      <c r="A14" s="21">
        <v>119</v>
      </c>
      <c r="B14" s="21" t="s">
        <v>94</v>
      </c>
      <c r="C14" s="21">
        <v>55.453921000000001</v>
      </c>
      <c r="D14" s="21">
        <v>620468.80000000005</v>
      </c>
      <c r="E14" s="21">
        <v>6082644.0999999996</v>
      </c>
      <c r="F14" s="21">
        <v>752.5</v>
      </c>
      <c r="G14" s="21">
        <v>17</v>
      </c>
      <c r="H14" s="21">
        <v>0</v>
      </c>
      <c r="I14" s="21">
        <v>41</v>
      </c>
      <c r="J14" s="21">
        <v>0</v>
      </c>
      <c r="K14" s="21">
        <v>100</v>
      </c>
      <c r="L14" s="21">
        <v>3</v>
      </c>
      <c r="M14" s="21">
        <v>100</v>
      </c>
      <c r="N14" s="21">
        <v>0</v>
      </c>
      <c r="O14" s="35">
        <v>10</v>
      </c>
      <c r="P14" s="21">
        <v>90</v>
      </c>
      <c r="Q14" s="4">
        <v>781.16</v>
      </c>
      <c r="R14" s="4">
        <v>30.899999619999999</v>
      </c>
      <c r="S14" s="4">
        <f t="shared" si="26"/>
        <v>123</v>
      </c>
      <c r="T14" s="5">
        <f t="shared" si="0"/>
        <v>3.2456920022533735</v>
      </c>
      <c r="U14" s="8">
        <f t="shared" si="1"/>
        <v>515.17765567083813</v>
      </c>
      <c r="V14" s="8">
        <f t="shared" si="2"/>
        <v>402436.17750383192</v>
      </c>
      <c r="W14" s="3">
        <f t="shared" si="3"/>
        <v>4024361775.0383191</v>
      </c>
      <c r="X14" s="5">
        <f t="shared" si="4"/>
        <v>4.0243617750383187</v>
      </c>
      <c r="Y14" s="3">
        <f t="shared" si="27"/>
        <v>0.5</v>
      </c>
      <c r="Z14" s="3">
        <f t="shared" si="5"/>
        <v>11.74</v>
      </c>
      <c r="AA14" s="3">
        <f t="shared" si="6"/>
        <v>0.33600000000000002</v>
      </c>
      <c r="AB14" s="5">
        <f t="shared" si="30"/>
        <v>1.1783399766300002</v>
      </c>
      <c r="AC14" s="8">
        <f t="shared" si="7"/>
        <v>0</v>
      </c>
      <c r="AD14" s="8">
        <f t="shared" si="8"/>
        <v>0</v>
      </c>
      <c r="AE14" s="8">
        <f t="shared" si="9"/>
        <v>17.534821080803574</v>
      </c>
      <c r="AF14" s="8">
        <f t="shared" si="10"/>
        <v>52.604463242410723</v>
      </c>
      <c r="AG14" s="3">
        <f t="shared" si="11"/>
        <v>0</v>
      </c>
      <c r="AH14" s="3">
        <f t="shared" si="12"/>
        <v>0</v>
      </c>
      <c r="AI14" s="9">
        <f t="shared" si="13"/>
        <v>10</v>
      </c>
      <c r="AJ14" s="3">
        <f t="shared" si="28"/>
        <v>123</v>
      </c>
      <c r="AK14" s="3">
        <f t="shared" si="14"/>
        <v>403.1139338200544</v>
      </c>
      <c r="AL14" s="3">
        <f t="shared" si="15"/>
        <v>0</v>
      </c>
      <c r="AM14" s="3">
        <f t="shared" si="16"/>
        <v>1.23E-2</v>
      </c>
      <c r="AN14" s="9">
        <f t="shared" si="17"/>
        <v>4.9499649832971324E-2</v>
      </c>
      <c r="AO14" s="3">
        <f t="shared" si="18"/>
        <v>49499.649832971321</v>
      </c>
      <c r="AP14" s="8">
        <f t="shared" si="19"/>
        <v>42.007952555881296</v>
      </c>
      <c r="AQ14" s="10">
        <f t="shared" si="20"/>
        <v>105.41676044570301</v>
      </c>
      <c r="AR14" s="10">
        <f t="shared" si="21"/>
        <v>316.25028133710902</v>
      </c>
      <c r="AS14" s="8">
        <f t="shared" si="29"/>
        <v>8.1121057578585614</v>
      </c>
      <c r="AT14" s="8">
        <f t="shared" si="22"/>
        <v>0.30250863939647299</v>
      </c>
      <c r="AU14" s="8">
        <f t="shared" si="23"/>
        <v>0</v>
      </c>
      <c r="AV14" s="38">
        <f t="shared" si="24"/>
        <v>37.919099919196427</v>
      </c>
      <c r="AW14" s="38">
        <f t="shared" si="25"/>
        <v>2.8494577575892777</v>
      </c>
    </row>
    <row r="15" spans="1:64" x14ac:dyDescent="0.4">
      <c r="A15" s="21">
        <v>72</v>
      </c>
      <c r="B15" s="21" t="s">
        <v>94</v>
      </c>
      <c r="C15" s="21">
        <v>52.988652999999999</v>
      </c>
      <c r="D15" s="21">
        <v>619792.9</v>
      </c>
      <c r="E15" s="21">
        <v>6081514</v>
      </c>
      <c r="F15" s="21">
        <v>753.5</v>
      </c>
      <c r="G15" s="21">
        <v>13</v>
      </c>
      <c r="H15" s="21">
        <v>0</v>
      </c>
      <c r="I15" s="21">
        <v>52</v>
      </c>
      <c r="J15" s="21">
        <v>0</v>
      </c>
      <c r="K15" s="21">
        <v>100</v>
      </c>
      <c r="L15" s="21">
        <v>2.8</v>
      </c>
      <c r="M15" s="21">
        <v>100</v>
      </c>
      <c r="N15" s="21">
        <v>0</v>
      </c>
      <c r="O15" s="35">
        <v>8</v>
      </c>
      <c r="P15" s="21">
        <v>90</v>
      </c>
      <c r="Q15" s="4">
        <v>781.16</v>
      </c>
      <c r="R15" s="4">
        <v>30.899999619999999</v>
      </c>
      <c r="S15" s="4">
        <f t="shared" si="26"/>
        <v>145.6</v>
      </c>
      <c r="T15" s="5">
        <f t="shared" si="0"/>
        <v>2.8192668236646963</v>
      </c>
      <c r="U15" s="8">
        <f t="shared" si="1"/>
        <v>479.0637072961631</v>
      </c>
      <c r="V15" s="8">
        <f t="shared" si="2"/>
        <v>374225.40559147077</v>
      </c>
      <c r="W15" s="3">
        <f t="shared" si="3"/>
        <v>3742254055.9147077</v>
      </c>
      <c r="X15" s="5">
        <f t="shared" si="4"/>
        <v>3.7422540559147075</v>
      </c>
      <c r="Y15" s="3">
        <f t="shared" si="27"/>
        <v>0.5</v>
      </c>
      <c r="Z15" s="3">
        <f t="shared" si="5"/>
        <v>11.74</v>
      </c>
      <c r="AA15" s="3">
        <f t="shared" si="6"/>
        <v>0.33600000000000002</v>
      </c>
      <c r="AB15" s="5">
        <f t="shared" si="30"/>
        <v>1.3948479723359999</v>
      </c>
      <c r="AC15" s="8">
        <f t="shared" si="7"/>
        <v>0</v>
      </c>
      <c r="AD15" s="8">
        <f t="shared" si="8"/>
        <v>0.20790214513599964</v>
      </c>
      <c r="AE15" s="8">
        <f t="shared" si="9"/>
        <v>20.756666254999995</v>
      </c>
      <c r="AF15" s="8">
        <f t="shared" si="10"/>
        <v>62.269998764999983</v>
      </c>
      <c r="AG15" s="3">
        <f t="shared" si="11"/>
        <v>0</v>
      </c>
      <c r="AH15" s="3">
        <f t="shared" si="12"/>
        <v>0</v>
      </c>
      <c r="AI15" s="9">
        <f t="shared" si="13"/>
        <v>8</v>
      </c>
      <c r="AJ15" s="3">
        <f t="shared" si="28"/>
        <v>145.6</v>
      </c>
      <c r="AK15" s="3">
        <f t="shared" si="14"/>
        <v>502.97075740294036</v>
      </c>
      <c r="AL15" s="3">
        <f t="shared" si="15"/>
        <v>0</v>
      </c>
      <c r="AM15" s="3">
        <f t="shared" si="16"/>
        <v>1.456E-2</v>
      </c>
      <c r="AN15" s="9">
        <f t="shared" si="17"/>
        <v>5.4487219054118144E-2</v>
      </c>
      <c r="AO15" s="3">
        <f t="shared" si="18"/>
        <v>54487.219054118141</v>
      </c>
      <c r="AP15" s="8">
        <f t="shared" si="19"/>
        <v>39.063195512889138</v>
      </c>
      <c r="AQ15" s="10">
        <f t="shared" si="20"/>
        <v>85.09499606700372</v>
      </c>
      <c r="AR15" s="10">
        <f t="shared" si="21"/>
        <v>255.28498820101112</v>
      </c>
      <c r="AS15" s="8">
        <f t="shared" si="29"/>
        <v>10.357374663132401</v>
      </c>
      <c r="AT15" s="8">
        <f t="shared" si="22"/>
        <v>0.72813771227086499</v>
      </c>
      <c r="AU15" s="8">
        <f t="shared" si="23"/>
        <v>0</v>
      </c>
      <c r="AV15" s="38">
        <f t="shared" si="24"/>
        <v>32.231986745</v>
      </c>
      <c r="AW15" s="38">
        <f t="shared" si="25"/>
        <v>0</v>
      </c>
    </row>
    <row r="16" spans="1:64" x14ac:dyDescent="0.4">
      <c r="A16" s="21">
        <v>123</v>
      </c>
      <c r="B16" s="21" t="s">
        <v>94</v>
      </c>
      <c r="C16" s="21">
        <v>63.482765999999998</v>
      </c>
      <c r="D16" s="21">
        <v>620528.4</v>
      </c>
      <c r="E16" s="21">
        <v>6082716.4000000004</v>
      </c>
      <c r="F16" s="21">
        <v>754.3</v>
      </c>
      <c r="G16" s="21">
        <v>13</v>
      </c>
      <c r="H16" s="21">
        <v>0</v>
      </c>
      <c r="I16" s="21">
        <v>38.299999999999997</v>
      </c>
      <c r="J16" s="21">
        <v>0</v>
      </c>
      <c r="K16" s="21">
        <v>100</v>
      </c>
      <c r="L16" s="21">
        <v>3.2</v>
      </c>
      <c r="M16" s="21">
        <v>100</v>
      </c>
      <c r="N16" s="21">
        <v>0</v>
      </c>
      <c r="O16" s="35">
        <v>12</v>
      </c>
      <c r="P16" s="21">
        <v>90</v>
      </c>
      <c r="Q16" s="4">
        <v>781.16</v>
      </c>
      <c r="R16" s="4">
        <v>30.899999619999999</v>
      </c>
      <c r="S16" s="4">
        <f t="shared" si="26"/>
        <v>122.56</v>
      </c>
      <c r="T16" s="5">
        <f t="shared" si="0"/>
        <v>2.8192668236646963</v>
      </c>
      <c r="U16" s="8">
        <f t="shared" si="1"/>
        <v>479.0637072961631</v>
      </c>
      <c r="V16" s="8">
        <f t="shared" si="2"/>
        <v>374225.40559147077</v>
      </c>
      <c r="W16" s="3">
        <f t="shared" si="3"/>
        <v>3742254055.9147077</v>
      </c>
      <c r="X16" s="5">
        <f t="shared" si="4"/>
        <v>3.7422540559147075</v>
      </c>
      <c r="Y16" s="3">
        <f t="shared" si="27"/>
        <v>0.5</v>
      </c>
      <c r="Z16" s="3">
        <f t="shared" si="5"/>
        <v>11.74</v>
      </c>
      <c r="AA16" s="3">
        <f t="shared" si="6"/>
        <v>0.33600000000000002</v>
      </c>
      <c r="AB16" s="5">
        <f t="shared" si="30"/>
        <v>1.1741247767136</v>
      </c>
      <c r="AC16" s="8">
        <f t="shared" si="7"/>
        <v>0</v>
      </c>
      <c r="AD16" s="8">
        <f t="shared" si="8"/>
        <v>0</v>
      </c>
      <c r="AE16" s="8">
        <f t="shared" si="9"/>
        <v>17.472094891571427</v>
      </c>
      <c r="AF16" s="8">
        <f t="shared" si="10"/>
        <v>52.416284674714277</v>
      </c>
      <c r="AG16" s="3">
        <f t="shared" si="11"/>
        <v>0</v>
      </c>
      <c r="AH16" s="3">
        <f t="shared" si="12"/>
        <v>0</v>
      </c>
      <c r="AI16" s="9">
        <f t="shared" si="13"/>
        <v>12</v>
      </c>
      <c r="AJ16" s="3">
        <f t="shared" si="28"/>
        <v>122.56</v>
      </c>
      <c r="AK16" s="3">
        <f t="shared" si="14"/>
        <v>336.68140413208914</v>
      </c>
      <c r="AL16" s="3">
        <f t="shared" si="15"/>
        <v>0</v>
      </c>
      <c r="AM16" s="3">
        <f t="shared" si="16"/>
        <v>1.2256E-2</v>
      </c>
      <c r="AN16" s="9">
        <f t="shared" si="17"/>
        <v>4.5865065709290651E-2</v>
      </c>
      <c r="AO16" s="3">
        <f t="shared" si="18"/>
        <v>45865.065709290648</v>
      </c>
      <c r="AP16" s="8">
        <f t="shared" si="19"/>
        <v>39.063195512889124</v>
      </c>
      <c r="AQ16" s="10">
        <f t="shared" si="20"/>
        <v>121.1126778518589</v>
      </c>
      <c r="AR16" s="10">
        <f t="shared" si="21"/>
        <v>363.33803355557677</v>
      </c>
      <c r="AS16" s="8">
        <f t="shared" si="29"/>
        <v>5.9051388183188482</v>
      </c>
      <c r="AT16" s="8">
        <f t="shared" si="22"/>
        <v>0.13494437924972288</v>
      </c>
      <c r="AU16" s="8">
        <f t="shared" si="23"/>
        <v>0</v>
      </c>
      <c r="AV16" s="38">
        <f t="shared" si="24"/>
        <v>46.010671108428568</v>
      </c>
      <c r="AW16" s="38">
        <f t="shared" si="25"/>
        <v>11.066481325285721</v>
      </c>
    </row>
    <row r="17" spans="1:49" x14ac:dyDescent="0.4">
      <c r="A17" s="21">
        <v>70</v>
      </c>
      <c r="B17" s="21" t="s">
        <v>94</v>
      </c>
      <c r="C17" s="21">
        <v>69.882838000000007</v>
      </c>
      <c r="D17" s="21">
        <v>619730.69999999995</v>
      </c>
      <c r="E17" s="21">
        <v>6081493.4000000004</v>
      </c>
      <c r="F17" s="21">
        <v>755</v>
      </c>
      <c r="G17" s="21">
        <v>7</v>
      </c>
      <c r="H17" s="21">
        <v>0</v>
      </c>
      <c r="I17" s="21">
        <v>22.29</v>
      </c>
      <c r="J17" s="21">
        <v>0</v>
      </c>
      <c r="K17" s="21">
        <v>100</v>
      </c>
      <c r="L17" s="21">
        <v>2.2999999999999998</v>
      </c>
      <c r="M17" s="21">
        <v>100</v>
      </c>
      <c r="N17" s="21">
        <v>0</v>
      </c>
      <c r="O17" s="35">
        <v>12</v>
      </c>
      <c r="P17" s="21">
        <v>90</v>
      </c>
      <c r="Q17" s="4">
        <v>781.16</v>
      </c>
      <c r="R17" s="4">
        <v>30.899999619999999</v>
      </c>
      <c r="S17" s="4">
        <f t="shared" si="26"/>
        <v>51.266999999999996</v>
      </c>
      <c r="T17" s="5">
        <f t="shared" si="0"/>
        <v>2.1392813062306222</v>
      </c>
      <c r="U17" s="8">
        <f t="shared" si="1"/>
        <v>421.47573382467135</v>
      </c>
      <c r="V17" s="8">
        <f t="shared" si="2"/>
        <v>329239.98423448025</v>
      </c>
      <c r="W17" s="3">
        <f t="shared" si="3"/>
        <v>3292399842.3448024</v>
      </c>
      <c r="X17" s="5">
        <f t="shared" si="4"/>
        <v>3.2923998423448024</v>
      </c>
      <c r="Y17" s="3">
        <f t="shared" si="27"/>
        <v>0.5</v>
      </c>
      <c r="Z17" s="3">
        <f t="shared" si="5"/>
        <v>11.74</v>
      </c>
      <c r="AA17" s="3">
        <f t="shared" si="6"/>
        <v>0.33600000000000002</v>
      </c>
      <c r="AB17" s="5">
        <f t="shared" si="30"/>
        <v>0.49113785025926993</v>
      </c>
      <c r="AC17" s="8">
        <f t="shared" si="7"/>
        <v>0</v>
      </c>
      <c r="AD17" s="8">
        <f t="shared" si="8"/>
        <v>0</v>
      </c>
      <c r="AE17" s="8">
        <f t="shared" si="9"/>
        <v>7.3085989621915157</v>
      </c>
      <c r="AF17" s="8">
        <f t="shared" si="10"/>
        <v>21.925796886574545</v>
      </c>
      <c r="AG17" s="3">
        <f t="shared" si="11"/>
        <v>0</v>
      </c>
      <c r="AH17" s="3">
        <f t="shared" si="12"/>
        <v>0</v>
      </c>
      <c r="AI17" s="9">
        <f t="shared" si="13"/>
        <v>12</v>
      </c>
      <c r="AJ17" s="3">
        <f t="shared" si="28"/>
        <v>51.266999999999996</v>
      </c>
      <c r="AK17" s="3">
        <f t="shared" si="14"/>
        <v>336.68140413208914</v>
      </c>
      <c r="AL17" s="3">
        <f t="shared" si="15"/>
        <v>0</v>
      </c>
      <c r="AM17" s="3">
        <f t="shared" si="16"/>
        <v>5.1266999999999997E-3</v>
      </c>
      <c r="AN17" s="9">
        <f t="shared" si="17"/>
        <v>1.6879146271749097E-2</v>
      </c>
      <c r="AO17" s="3">
        <f t="shared" si="18"/>
        <v>16879.146271749098</v>
      </c>
      <c r="AP17" s="8">
        <f t="shared" si="19"/>
        <v>34.367431186251792</v>
      </c>
      <c r="AQ17" s="10">
        <f t="shared" si="20"/>
        <v>318.72427880963443</v>
      </c>
      <c r="AR17" s="10">
        <f t="shared" si="21"/>
        <v>956.17283642890334</v>
      </c>
      <c r="AS17" s="8">
        <f t="shared" si="29"/>
        <v>0.2381178877270303</v>
      </c>
      <c r="AT17" s="8">
        <f t="shared" si="22"/>
        <v>1.1430939355274493E-5</v>
      </c>
      <c r="AU17" s="8">
        <f t="shared" si="23"/>
        <v>0</v>
      </c>
      <c r="AV17" s="38">
        <f t="shared" si="24"/>
        <v>62.574239037808489</v>
      </c>
      <c r="AW17" s="38">
        <f t="shared" si="25"/>
        <v>47.957041113425461</v>
      </c>
    </row>
    <row r="18" spans="1:49" x14ac:dyDescent="0.4">
      <c r="A18" s="21">
        <v>124</v>
      </c>
      <c r="B18" s="21" t="s">
        <v>94</v>
      </c>
      <c r="C18" s="21">
        <v>41.167093000000001</v>
      </c>
      <c r="D18" s="21">
        <v>620561.4</v>
      </c>
      <c r="E18" s="21">
        <v>6082696.7999999998</v>
      </c>
      <c r="F18" s="21">
        <v>760.8</v>
      </c>
      <c r="G18" s="21">
        <v>17</v>
      </c>
      <c r="H18" s="21">
        <v>0</v>
      </c>
      <c r="I18" s="21">
        <v>72</v>
      </c>
      <c r="J18" s="21">
        <v>0</v>
      </c>
      <c r="K18" s="21">
        <v>100</v>
      </c>
      <c r="L18" s="21">
        <v>4</v>
      </c>
      <c r="M18" s="21">
        <v>100</v>
      </c>
      <c r="N18" s="21">
        <v>0</v>
      </c>
      <c r="O18" s="35">
        <v>13</v>
      </c>
      <c r="P18" s="21">
        <v>90</v>
      </c>
      <c r="Q18" s="4">
        <v>781.16</v>
      </c>
      <c r="R18" s="4">
        <v>30.899999619999999</v>
      </c>
      <c r="S18" s="4">
        <f t="shared" si="26"/>
        <v>288</v>
      </c>
      <c r="T18" s="5">
        <f t="shared" si="0"/>
        <v>3.2456920022533735</v>
      </c>
      <c r="U18" s="8">
        <f t="shared" si="1"/>
        <v>515.17765567083813</v>
      </c>
      <c r="V18" s="8">
        <f t="shared" si="2"/>
        <v>402436.17750383192</v>
      </c>
      <c r="W18" s="3">
        <f t="shared" si="3"/>
        <v>4024361775.0383191</v>
      </c>
      <c r="X18" s="5">
        <f t="shared" si="4"/>
        <v>4.0243617750383187</v>
      </c>
      <c r="Y18" s="3">
        <f t="shared" si="27"/>
        <v>0.5</v>
      </c>
      <c r="Z18" s="3">
        <f t="shared" si="5"/>
        <v>11.74</v>
      </c>
      <c r="AA18" s="3">
        <f t="shared" si="6"/>
        <v>0.33600000000000002</v>
      </c>
      <c r="AB18" s="5">
        <f t="shared" si="30"/>
        <v>2.7590399452800001</v>
      </c>
      <c r="AC18" s="8">
        <f t="shared" si="7"/>
        <v>0</v>
      </c>
      <c r="AD18" s="8">
        <f t="shared" si="8"/>
        <v>1.8368970620799996</v>
      </c>
      <c r="AE18" s="8">
        <f t="shared" si="9"/>
        <v>41.057142042857137</v>
      </c>
      <c r="AF18" s="8">
        <f t="shared" si="10"/>
        <v>123.17142612857141</v>
      </c>
      <c r="AG18" s="3">
        <f t="shared" si="11"/>
        <v>0</v>
      </c>
      <c r="AH18" s="3">
        <f t="shared" si="12"/>
        <v>0</v>
      </c>
      <c r="AI18" s="9">
        <f t="shared" si="13"/>
        <v>13</v>
      </c>
      <c r="AJ18" s="3">
        <f t="shared" si="28"/>
        <v>288</v>
      </c>
      <c r="AK18" s="3">
        <f t="shared" si="14"/>
        <v>311.17880378100608</v>
      </c>
      <c r="AL18" s="3">
        <f t="shared" si="15"/>
        <v>0</v>
      </c>
      <c r="AM18" s="3">
        <f t="shared" si="16"/>
        <v>2.8799999999999999E-2</v>
      </c>
      <c r="AN18" s="9">
        <f t="shared" si="17"/>
        <v>0.11590161912110357</v>
      </c>
      <c r="AO18" s="3">
        <f t="shared" si="18"/>
        <v>115901.61912110356</v>
      </c>
      <c r="AP18" s="8">
        <f t="shared" si="19"/>
        <v>42.007952555881289</v>
      </c>
      <c r="AQ18" s="10">
        <f t="shared" si="20"/>
        <v>33.42259994377924</v>
      </c>
      <c r="AR18" s="10">
        <f t="shared" si="21"/>
        <v>100.26779983133774</v>
      </c>
      <c r="AS18" s="8">
        <f t="shared" si="29"/>
        <v>24.939836582515316</v>
      </c>
      <c r="AT18" s="8">
        <f t="shared" si="22"/>
        <v>8.7905850630789466</v>
      </c>
      <c r="AU18" s="8">
        <f t="shared" si="23"/>
        <v>0</v>
      </c>
      <c r="AV18" s="38">
        <f t="shared" si="24"/>
        <v>0.10995095714286407</v>
      </c>
      <c r="AW18" s="38">
        <f t="shared" si="25"/>
        <v>0</v>
      </c>
    </row>
    <row r="19" spans="1:49" x14ac:dyDescent="0.4">
      <c r="A19" s="21">
        <v>110</v>
      </c>
      <c r="B19" s="21" t="s">
        <v>94</v>
      </c>
      <c r="C19" s="21">
        <v>51.741317000000002</v>
      </c>
      <c r="D19" s="21">
        <v>620328.5</v>
      </c>
      <c r="E19" s="21">
        <v>6082493.2000000002</v>
      </c>
      <c r="F19" s="21">
        <v>763.8</v>
      </c>
      <c r="G19" s="21">
        <v>15</v>
      </c>
      <c r="H19" s="21">
        <v>0</v>
      </c>
      <c r="I19" s="21">
        <v>40.15</v>
      </c>
      <c r="J19" s="21">
        <v>0</v>
      </c>
      <c r="K19" s="21">
        <v>100</v>
      </c>
      <c r="L19" s="21">
        <v>4</v>
      </c>
      <c r="M19" s="21">
        <v>100</v>
      </c>
      <c r="N19" s="21">
        <v>0</v>
      </c>
      <c r="O19" s="35">
        <v>2</v>
      </c>
      <c r="P19" s="21">
        <v>90</v>
      </c>
      <c r="Q19" s="4">
        <v>781.16</v>
      </c>
      <c r="R19" s="4">
        <v>30.899999619999999</v>
      </c>
      <c r="S19" s="4">
        <f t="shared" si="26"/>
        <v>160.6</v>
      </c>
      <c r="T19" s="5">
        <f t="shared" si="0"/>
        <v>3.0375094525380737</v>
      </c>
      <c r="U19" s="8">
        <f t="shared" si="1"/>
        <v>497.54667553544948</v>
      </c>
      <c r="V19" s="8">
        <f t="shared" si="2"/>
        <v>388663.5610612717</v>
      </c>
      <c r="W19" s="3">
        <f t="shared" si="3"/>
        <v>3886635610.6127172</v>
      </c>
      <c r="X19" s="5">
        <f t="shared" si="4"/>
        <v>3.8866356106127173</v>
      </c>
      <c r="Y19" s="3">
        <f t="shared" si="27"/>
        <v>0.5</v>
      </c>
      <c r="Z19" s="3">
        <f t="shared" si="5"/>
        <v>11.74</v>
      </c>
      <c r="AA19" s="3">
        <f t="shared" si="6"/>
        <v>0.33600000000000002</v>
      </c>
      <c r="AB19" s="5">
        <f t="shared" si="30"/>
        <v>1.538547969486</v>
      </c>
      <c r="AC19" s="8">
        <f t="shared" si="7"/>
        <v>0</v>
      </c>
      <c r="AD19" s="8">
        <f t="shared" si="8"/>
        <v>0.37954246868599989</v>
      </c>
      <c r="AE19" s="8">
        <f t="shared" si="9"/>
        <v>22.895059069732142</v>
      </c>
      <c r="AF19" s="8">
        <f t="shared" si="10"/>
        <v>68.685177209196425</v>
      </c>
      <c r="AG19" s="3">
        <f t="shared" si="11"/>
        <v>0</v>
      </c>
      <c r="AH19" s="3">
        <f t="shared" si="12"/>
        <v>0</v>
      </c>
      <c r="AI19" s="9">
        <f t="shared" si="13"/>
        <v>2</v>
      </c>
      <c r="AJ19" s="3">
        <f t="shared" si="28"/>
        <v>160.6</v>
      </c>
      <c r="AK19" s="3">
        <f t="shared" si="14"/>
        <v>2005.7595843490676</v>
      </c>
      <c r="AL19" s="3">
        <f t="shared" si="15"/>
        <v>0</v>
      </c>
      <c r="AM19" s="3">
        <f t="shared" si="16"/>
        <v>1.6059999999999998E-2</v>
      </c>
      <c r="AN19" s="9">
        <f t="shared" si="17"/>
        <v>6.2419367906440232E-2</v>
      </c>
      <c r="AO19" s="3">
        <f t="shared" si="18"/>
        <v>62419.367906440231</v>
      </c>
      <c r="AP19" s="8">
        <f t="shared" si="19"/>
        <v>40.570309892445778</v>
      </c>
      <c r="AQ19" s="10">
        <f t="shared" si="20"/>
        <v>75.331125436875539</v>
      </c>
      <c r="AR19" s="10">
        <f t="shared" si="21"/>
        <v>225.99337631062659</v>
      </c>
      <c r="AS19" s="8">
        <f t="shared" si="29"/>
        <v>12.526807636550743</v>
      </c>
      <c r="AT19" s="8">
        <f t="shared" si="22"/>
        <v>1.1942756431139954</v>
      </c>
      <c r="AU19" s="8">
        <f t="shared" si="23"/>
        <v>0</v>
      </c>
      <c r="AV19" s="38">
        <f t="shared" si="24"/>
        <v>28.846257930267861</v>
      </c>
      <c r="AW19" s="38">
        <f t="shared" si="25"/>
        <v>0</v>
      </c>
    </row>
    <row r="20" spans="1:49" x14ac:dyDescent="0.4">
      <c r="A20" s="21">
        <v>116</v>
      </c>
      <c r="B20" s="21" t="s">
        <v>94</v>
      </c>
      <c r="C20" s="21">
        <v>47.597133999999997</v>
      </c>
      <c r="D20" s="21">
        <v>620409.59999999998</v>
      </c>
      <c r="E20" s="21">
        <v>6082518.5999999996</v>
      </c>
      <c r="F20" s="21">
        <v>764</v>
      </c>
      <c r="G20" s="21">
        <v>15</v>
      </c>
      <c r="H20" s="21">
        <v>0</v>
      </c>
      <c r="I20" s="21">
        <v>132</v>
      </c>
      <c r="J20" s="21">
        <v>0</v>
      </c>
      <c r="K20" s="21">
        <v>100</v>
      </c>
      <c r="L20" s="21">
        <v>3</v>
      </c>
      <c r="M20" s="21">
        <v>100</v>
      </c>
      <c r="N20" s="21">
        <v>0</v>
      </c>
      <c r="O20" s="35">
        <v>20</v>
      </c>
      <c r="P20" s="21">
        <v>90</v>
      </c>
      <c r="Q20" s="4">
        <v>781.16</v>
      </c>
      <c r="R20" s="4">
        <v>30.899999619999999</v>
      </c>
      <c r="S20" s="4">
        <f t="shared" si="26"/>
        <v>396</v>
      </c>
      <c r="T20" s="5">
        <f t="shared" si="0"/>
        <v>3.0375094525380737</v>
      </c>
      <c r="U20" s="8">
        <f t="shared" si="1"/>
        <v>497.54667553544948</v>
      </c>
      <c r="V20" s="8">
        <f t="shared" si="2"/>
        <v>388663.5610612717</v>
      </c>
      <c r="W20" s="3">
        <f t="shared" si="3"/>
        <v>3886635610.6127172</v>
      </c>
      <c r="X20" s="5">
        <f t="shared" si="4"/>
        <v>3.8866356106127173</v>
      </c>
      <c r="Y20" s="3">
        <f t="shared" si="27"/>
        <v>0.5</v>
      </c>
      <c r="Z20" s="3">
        <f t="shared" si="5"/>
        <v>11.74</v>
      </c>
      <c r="AA20" s="3">
        <f t="shared" si="6"/>
        <v>0.33600000000000002</v>
      </c>
      <c r="AB20" s="5">
        <f t="shared" si="30"/>
        <v>3.7936799247600002</v>
      </c>
      <c r="AC20" s="8">
        <f t="shared" si="7"/>
        <v>0.59515251996000007</v>
      </c>
      <c r="AD20" s="8">
        <f t="shared" si="8"/>
        <v>2.7275041231600001</v>
      </c>
      <c r="AE20" s="8">
        <f t="shared" si="9"/>
        <v>56.453570308928569</v>
      </c>
      <c r="AF20" s="8">
        <f t="shared" si="10"/>
        <v>169.36071092678571</v>
      </c>
      <c r="AG20" s="3">
        <f t="shared" si="11"/>
        <v>1</v>
      </c>
      <c r="AH20" s="3">
        <f t="shared" si="12"/>
        <v>0</v>
      </c>
      <c r="AI20" s="9">
        <f t="shared" si="13"/>
        <v>20</v>
      </c>
      <c r="AJ20" s="3">
        <f t="shared" si="28"/>
        <v>396</v>
      </c>
      <c r="AK20" s="3">
        <f t="shared" si="14"/>
        <v>204.66630801141611</v>
      </c>
      <c r="AL20" s="3">
        <f t="shared" si="15"/>
        <v>0.59515251996000007</v>
      </c>
      <c r="AM20" s="3">
        <f t="shared" si="16"/>
        <v>3.9600000000000003E-2</v>
      </c>
      <c r="AN20" s="9">
        <f t="shared" si="17"/>
        <v>0.15391077018026361</v>
      </c>
      <c r="AO20" s="3">
        <f t="shared" si="18"/>
        <v>153910.77018026361</v>
      </c>
      <c r="AP20" s="8">
        <f t="shared" si="19"/>
        <v>40.570309892445785</v>
      </c>
      <c r="AQ20" s="10">
        <f t="shared" si="20"/>
        <v>28.103999882579693</v>
      </c>
      <c r="AR20" s="10">
        <f t="shared" si="21"/>
        <v>84.311999647739086</v>
      </c>
      <c r="AS20" s="8">
        <f t="shared" si="29"/>
        <v>26.170010492652448</v>
      </c>
      <c r="AT20" s="8">
        <f t="shared" si="22"/>
        <v>10.889176575099002</v>
      </c>
      <c r="AU20" s="8">
        <f t="shared" si="23"/>
        <v>6.4807208789595743</v>
      </c>
      <c r="AV20" s="38">
        <f t="shared" si="24"/>
        <v>0</v>
      </c>
      <c r="AW20" s="38">
        <f t="shared" si="25"/>
        <v>0</v>
      </c>
    </row>
    <row r="21" spans="1:49" x14ac:dyDescent="0.4">
      <c r="A21" s="21">
        <v>114</v>
      </c>
      <c r="B21" s="21" t="s">
        <v>94</v>
      </c>
      <c r="C21" s="21">
        <v>21.892489000000001</v>
      </c>
      <c r="D21" s="21">
        <v>620386.19999999995</v>
      </c>
      <c r="E21" s="21">
        <v>6082482.4000000004</v>
      </c>
      <c r="F21" s="21">
        <v>764.1</v>
      </c>
      <c r="G21" s="21">
        <v>19</v>
      </c>
      <c r="H21" s="21">
        <v>0</v>
      </c>
      <c r="I21" s="21">
        <v>12.27</v>
      </c>
      <c r="J21" s="21">
        <v>0</v>
      </c>
      <c r="K21" s="21">
        <v>100</v>
      </c>
      <c r="L21" s="21">
        <v>3</v>
      </c>
      <c r="M21" s="21">
        <v>100</v>
      </c>
      <c r="N21" s="21">
        <v>0</v>
      </c>
      <c r="O21" s="35">
        <v>9</v>
      </c>
      <c r="P21" s="21">
        <v>90</v>
      </c>
      <c r="Q21" s="4">
        <v>781.16</v>
      </c>
      <c r="R21" s="4">
        <v>30.899999619999999</v>
      </c>
      <c r="S21" s="4">
        <f t="shared" si="26"/>
        <v>36.81</v>
      </c>
      <c r="T21" s="5">
        <f t="shared" si="0"/>
        <v>3.4412021192905757</v>
      </c>
      <c r="U21" s="8">
        <f t="shared" si="1"/>
        <v>531.73540748271887</v>
      </c>
      <c r="V21" s="8">
        <f t="shared" si="2"/>
        <v>415370.43090920063</v>
      </c>
      <c r="W21" s="3">
        <f t="shared" si="3"/>
        <v>4153704309.0920062</v>
      </c>
      <c r="X21" s="5">
        <f t="shared" si="4"/>
        <v>4.1537043090920065</v>
      </c>
      <c r="Y21" s="3">
        <f t="shared" si="27"/>
        <v>0.5</v>
      </c>
      <c r="Z21" s="3">
        <f t="shared" si="5"/>
        <v>11.74</v>
      </c>
      <c r="AA21" s="3">
        <f t="shared" si="6"/>
        <v>0.33600000000000002</v>
      </c>
      <c r="AB21" s="5">
        <f t="shared" si="30"/>
        <v>0.35263979300610004</v>
      </c>
      <c r="AC21" s="8">
        <f t="shared" si="7"/>
        <v>0</v>
      </c>
      <c r="AD21" s="8">
        <f t="shared" si="8"/>
        <v>0</v>
      </c>
      <c r="AE21" s="8">
        <f t="shared" si="9"/>
        <v>5.2476159673526785</v>
      </c>
      <c r="AF21" s="8">
        <f t="shared" si="10"/>
        <v>15.742847902058035</v>
      </c>
      <c r="AG21" s="3">
        <f t="shared" si="11"/>
        <v>0</v>
      </c>
      <c r="AH21" s="3">
        <f t="shared" si="12"/>
        <v>0</v>
      </c>
      <c r="AI21" s="9">
        <f t="shared" si="13"/>
        <v>9</v>
      </c>
      <c r="AJ21" s="3">
        <f t="shared" si="28"/>
        <v>36.81</v>
      </c>
      <c r="AK21" s="3">
        <f t="shared" si="14"/>
        <v>447.47172550497629</v>
      </c>
      <c r="AL21" s="3">
        <f t="shared" si="15"/>
        <v>0</v>
      </c>
      <c r="AM21" s="3">
        <f t="shared" si="16"/>
        <v>3.6810000000000002E-3</v>
      </c>
      <c r="AN21" s="9">
        <f t="shared" si="17"/>
        <v>1.5289785561767678E-2</v>
      </c>
      <c r="AO21" s="3">
        <f t="shared" si="18"/>
        <v>15289.785561767678</v>
      </c>
      <c r="AP21" s="8">
        <f t="shared" si="19"/>
        <v>43.358083418291912</v>
      </c>
      <c r="AQ21" s="10">
        <f t="shared" si="20"/>
        <v>139.06307890542496</v>
      </c>
      <c r="AR21" s="10">
        <f t="shared" si="21"/>
        <v>417.18923671627476</v>
      </c>
      <c r="AS21" s="8">
        <f t="shared" si="29"/>
        <v>4.9535729467253953</v>
      </c>
      <c r="AT21" s="8">
        <f t="shared" si="22"/>
        <v>6.4656997806178562E-2</v>
      </c>
      <c r="AU21" s="8">
        <f t="shared" si="23"/>
        <v>0</v>
      </c>
      <c r="AV21" s="38">
        <f t="shared" si="24"/>
        <v>16.644873032647322</v>
      </c>
      <c r="AW21" s="38">
        <f t="shared" si="25"/>
        <v>6.1496410979419664</v>
      </c>
    </row>
    <row r="22" spans="1:49" x14ac:dyDescent="0.4">
      <c r="A22" s="21">
        <v>73</v>
      </c>
      <c r="B22" s="21" t="s">
        <v>94</v>
      </c>
      <c r="C22" s="21">
        <v>91.868313000000001</v>
      </c>
      <c r="D22" s="21">
        <v>619825.4</v>
      </c>
      <c r="E22" s="21">
        <v>6081554.7999999998</v>
      </c>
      <c r="F22" s="21">
        <v>765.3</v>
      </c>
      <c r="G22" s="21">
        <v>14</v>
      </c>
      <c r="H22" s="21">
        <v>0</v>
      </c>
      <c r="I22" s="21">
        <v>43</v>
      </c>
      <c r="J22" s="21">
        <v>0</v>
      </c>
      <c r="K22" s="21">
        <v>100</v>
      </c>
      <c r="L22" s="21">
        <v>3.3</v>
      </c>
      <c r="M22" s="21">
        <v>100</v>
      </c>
      <c r="N22" s="21">
        <v>0</v>
      </c>
      <c r="O22" s="35">
        <v>10</v>
      </c>
      <c r="P22" s="21">
        <v>90</v>
      </c>
      <c r="Q22" s="4">
        <v>781.16</v>
      </c>
      <c r="R22" s="4">
        <v>30.899999619999999</v>
      </c>
      <c r="S22" s="4">
        <f t="shared" si="26"/>
        <v>141.9</v>
      </c>
      <c r="T22" s="5">
        <f t="shared" si="0"/>
        <v>2.9294544238463396</v>
      </c>
      <c r="U22" s="8">
        <f t="shared" si="1"/>
        <v>488.39549515554648</v>
      </c>
      <c r="V22" s="8">
        <f t="shared" si="2"/>
        <v>381515.02499570668</v>
      </c>
      <c r="W22" s="3">
        <f t="shared" si="3"/>
        <v>3815150249.957067</v>
      </c>
      <c r="X22" s="5">
        <f t="shared" si="4"/>
        <v>3.8151502499570671</v>
      </c>
      <c r="Y22" s="3">
        <f t="shared" si="27"/>
        <v>0.5</v>
      </c>
      <c r="Z22" s="3">
        <f t="shared" si="5"/>
        <v>11.74</v>
      </c>
      <c r="AA22" s="3">
        <f t="shared" si="6"/>
        <v>0.33600000000000002</v>
      </c>
      <c r="AB22" s="5">
        <f t="shared" si="30"/>
        <v>1.3594019730390001</v>
      </c>
      <c r="AC22" s="8">
        <f t="shared" si="7"/>
        <v>0</v>
      </c>
      <c r="AD22" s="8">
        <f t="shared" si="8"/>
        <v>0</v>
      </c>
      <c r="AE22" s="8">
        <f t="shared" si="9"/>
        <v>20.229196027366072</v>
      </c>
      <c r="AF22" s="8">
        <f t="shared" si="10"/>
        <v>60.687588082098216</v>
      </c>
      <c r="AG22" s="3">
        <f t="shared" si="11"/>
        <v>0</v>
      </c>
      <c r="AH22" s="3">
        <f t="shared" si="12"/>
        <v>0</v>
      </c>
      <c r="AI22" s="9">
        <f t="shared" si="13"/>
        <v>10</v>
      </c>
      <c r="AJ22" s="3">
        <f t="shared" si="28"/>
        <v>141.9</v>
      </c>
      <c r="AK22" s="3">
        <f t="shared" si="14"/>
        <v>403.1139338200544</v>
      </c>
      <c r="AL22" s="3">
        <f t="shared" si="15"/>
        <v>0</v>
      </c>
      <c r="AM22" s="3">
        <f t="shared" si="16"/>
        <v>1.4190000000000001E-2</v>
      </c>
      <c r="AN22" s="9">
        <f t="shared" si="17"/>
        <v>5.413698204689079E-2</v>
      </c>
      <c r="AO22" s="3">
        <f t="shared" si="18"/>
        <v>54136.982046890793</v>
      </c>
      <c r="AP22" s="8">
        <f t="shared" si="19"/>
        <v>39.824116133850609</v>
      </c>
      <c r="AQ22" s="10">
        <f t="shared" si="20"/>
        <v>151.37908080268485</v>
      </c>
      <c r="AR22" s="10">
        <f t="shared" si="21"/>
        <v>454.13724240805459</v>
      </c>
      <c r="AS22" s="8">
        <f t="shared" si="29"/>
        <v>3.7545145701867986</v>
      </c>
      <c r="AT22" s="8">
        <f t="shared" si="22"/>
        <v>3.3370989984175578E-2</v>
      </c>
      <c r="AU22" s="8">
        <f t="shared" si="23"/>
        <v>0</v>
      </c>
      <c r="AV22" s="38">
        <f t="shared" si="24"/>
        <v>71.639116972633929</v>
      </c>
      <c r="AW22" s="38">
        <f t="shared" si="25"/>
        <v>31.180724917901784</v>
      </c>
    </row>
    <row r="23" spans="1:49" x14ac:dyDescent="0.4">
      <c r="A23" s="21">
        <v>125</v>
      </c>
      <c r="B23" s="21" t="s">
        <v>94</v>
      </c>
      <c r="C23" s="21">
        <v>56.239874999999998</v>
      </c>
      <c r="D23" s="21">
        <v>620619.9</v>
      </c>
      <c r="E23" s="21">
        <v>6082655.5</v>
      </c>
      <c r="F23" s="21">
        <v>769</v>
      </c>
      <c r="G23" s="21">
        <v>14</v>
      </c>
      <c r="H23" s="21">
        <v>0</v>
      </c>
      <c r="I23" s="21">
        <v>57</v>
      </c>
      <c r="J23" s="21">
        <v>0</v>
      </c>
      <c r="K23" s="21">
        <v>100</v>
      </c>
      <c r="L23" s="21">
        <v>3.4</v>
      </c>
      <c r="M23" s="21">
        <v>100</v>
      </c>
      <c r="N23" s="21">
        <v>0</v>
      </c>
      <c r="O23" s="35">
        <v>4</v>
      </c>
      <c r="P23" s="21">
        <v>90</v>
      </c>
      <c r="Q23" s="4">
        <v>781.16</v>
      </c>
      <c r="R23" s="4">
        <v>30.899999619999999</v>
      </c>
      <c r="S23" s="4">
        <f t="shared" si="26"/>
        <v>193.79999999999998</v>
      </c>
      <c r="T23" s="5">
        <f t="shared" si="0"/>
        <v>2.9294544238463396</v>
      </c>
      <c r="U23" s="8">
        <f t="shared" si="1"/>
        <v>488.39549515554648</v>
      </c>
      <c r="V23" s="8">
        <f t="shared" si="2"/>
        <v>381515.02499570668</v>
      </c>
      <c r="W23" s="3">
        <f t="shared" si="3"/>
        <v>3815150249.957067</v>
      </c>
      <c r="X23" s="5">
        <f t="shared" si="4"/>
        <v>3.8151502499570671</v>
      </c>
      <c r="Y23" s="3">
        <f t="shared" si="27"/>
        <v>0.5</v>
      </c>
      <c r="Z23" s="3">
        <f t="shared" si="5"/>
        <v>11.74</v>
      </c>
      <c r="AA23" s="3">
        <f t="shared" si="6"/>
        <v>0.33600000000000002</v>
      </c>
      <c r="AB23" s="5">
        <f t="shared" si="30"/>
        <v>1.856603963178</v>
      </c>
      <c r="AC23" s="8">
        <f t="shared" si="7"/>
        <v>0</v>
      </c>
      <c r="AD23" s="8">
        <f t="shared" si="8"/>
        <v>0.59683076317799988</v>
      </c>
      <c r="AE23" s="8">
        <f t="shared" si="9"/>
        <v>27.628035166339284</v>
      </c>
      <c r="AF23" s="8">
        <f t="shared" si="10"/>
        <v>82.884105499017849</v>
      </c>
      <c r="AG23" s="3">
        <f t="shared" si="11"/>
        <v>0</v>
      </c>
      <c r="AH23" s="3">
        <f t="shared" si="12"/>
        <v>0</v>
      </c>
      <c r="AI23" s="9">
        <f t="shared" si="13"/>
        <v>4</v>
      </c>
      <c r="AJ23" s="3">
        <f t="shared" si="28"/>
        <v>193.79999999999998</v>
      </c>
      <c r="AK23" s="3">
        <f t="shared" si="14"/>
        <v>1003.4910918342573</v>
      </c>
      <c r="AL23" s="3">
        <f t="shared" si="15"/>
        <v>0</v>
      </c>
      <c r="AM23" s="3">
        <f t="shared" si="16"/>
        <v>1.9379999999999998E-2</v>
      </c>
      <c r="AN23" s="9">
        <f t="shared" si="17"/>
        <v>7.3937611844167958E-2</v>
      </c>
      <c r="AO23" s="3">
        <f t="shared" si="18"/>
        <v>73937.611844167957</v>
      </c>
      <c r="AP23" s="8">
        <f t="shared" si="19"/>
        <v>39.824116133850602</v>
      </c>
      <c r="AQ23" s="10">
        <f t="shared" si="20"/>
        <v>67.853630875785257</v>
      </c>
      <c r="AR23" s="10">
        <f t="shared" si="21"/>
        <v>203.56089262735571</v>
      </c>
      <c r="AS23" s="8">
        <f t="shared" si="29"/>
        <v>13.817777947485602</v>
      </c>
      <c r="AT23" s="8">
        <f t="shared" si="22"/>
        <v>1.6634982039787185</v>
      </c>
      <c r="AU23" s="8">
        <f t="shared" si="23"/>
        <v>0</v>
      </c>
      <c r="AV23" s="38">
        <f t="shared" si="24"/>
        <v>28.611839833660714</v>
      </c>
      <c r="AW23" s="38">
        <f t="shared" si="25"/>
        <v>0</v>
      </c>
    </row>
    <row r="24" spans="1:49" x14ac:dyDescent="0.4">
      <c r="A24" s="21">
        <v>109</v>
      </c>
      <c r="B24" s="21" t="s">
        <v>94</v>
      </c>
      <c r="C24" s="21">
        <v>49.578721000000002</v>
      </c>
      <c r="D24" s="21">
        <v>620304.4</v>
      </c>
      <c r="E24" s="21">
        <v>6082461.0999999996</v>
      </c>
      <c r="F24" s="21">
        <v>771</v>
      </c>
      <c r="G24" s="21">
        <v>17</v>
      </c>
      <c r="H24" s="21">
        <v>0</v>
      </c>
      <c r="I24" s="21">
        <v>39.200000000000003</v>
      </c>
      <c r="J24" s="21">
        <v>0</v>
      </c>
      <c r="K24" s="21">
        <v>100</v>
      </c>
      <c r="L24" s="21">
        <v>3.7</v>
      </c>
      <c r="M24" s="21">
        <v>100</v>
      </c>
      <c r="N24" s="21">
        <v>0</v>
      </c>
      <c r="O24" s="35">
        <v>11</v>
      </c>
      <c r="P24" s="21">
        <v>90</v>
      </c>
      <c r="Q24" s="4">
        <v>781.16</v>
      </c>
      <c r="R24" s="4">
        <v>30.899999619999999</v>
      </c>
      <c r="S24" s="4">
        <f t="shared" si="26"/>
        <v>145.04000000000002</v>
      </c>
      <c r="T24" s="5">
        <f t="shared" si="0"/>
        <v>3.2456920022533735</v>
      </c>
      <c r="U24" s="8">
        <f t="shared" si="1"/>
        <v>515.17765567083813</v>
      </c>
      <c r="V24" s="8">
        <f t="shared" si="2"/>
        <v>402436.17750383192</v>
      </c>
      <c r="W24" s="3">
        <f t="shared" si="3"/>
        <v>4024361775.0383191</v>
      </c>
      <c r="X24" s="5">
        <f t="shared" si="4"/>
        <v>4.0243617750383187</v>
      </c>
      <c r="Y24" s="3">
        <f t="shared" si="27"/>
        <v>0.5</v>
      </c>
      <c r="Z24" s="3">
        <f t="shared" si="5"/>
        <v>11.74</v>
      </c>
      <c r="AA24" s="3">
        <f t="shared" si="6"/>
        <v>0.33600000000000002</v>
      </c>
      <c r="AB24" s="5">
        <f t="shared" si="30"/>
        <v>1.3894831724424002</v>
      </c>
      <c r="AC24" s="8">
        <f t="shared" si="7"/>
        <v>0</v>
      </c>
      <c r="AD24" s="8">
        <f t="shared" si="8"/>
        <v>0.27891982204239996</v>
      </c>
      <c r="AE24" s="8">
        <f t="shared" si="9"/>
        <v>20.67683292325</v>
      </c>
      <c r="AF24" s="8">
        <f t="shared" si="10"/>
        <v>62.030498769749997</v>
      </c>
      <c r="AG24" s="3">
        <f t="shared" si="11"/>
        <v>0</v>
      </c>
      <c r="AH24" s="3">
        <f t="shared" si="12"/>
        <v>0</v>
      </c>
      <c r="AI24" s="9">
        <f t="shared" si="13"/>
        <v>11</v>
      </c>
      <c r="AJ24" s="3">
        <f t="shared" si="28"/>
        <v>145.04000000000002</v>
      </c>
      <c r="AK24" s="3">
        <f t="shared" si="14"/>
        <v>366.85901449174941</v>
      </c>
      <c r="AL24" s="3">
        <f t="shared" si="15"/>
        <v>0</v>
      </c>
      <c r="AM24" s="3">
        <f t="shared" si="16"/>
        <v>1.4504000000000001E-2</v>
      </c>
      <c r="AN24" s="9">
        <f t="shared" si="17"/>
        <v>5.8369343185155777E-2</v>
      </c>
      <c r="AO24" s="3">
        <f t="shared" si="18"/>
        <v>58369.343185155776</v>
      </c>
      <c r="AP24" s="8">
        <f t="shared" si="19"/>
        <v>42.007952555881296</v>
      </c>
      <c r="AQ24" s="10">
        <f t="shared" si="20"/>
        <v>79.926362004649448</v>
      </c>
      <c r="AR24" s="10">
        <f t="shared" si="21"/>
        <v>239.77908601394833</v>
      </c>
      <c r="AS24" s="8">
        <f t="shared" si="29"/>
        <v>12.073436390158653</v>
      </c>
      <c r="AT24" s="8">
        <f t="shared" si="22"/>
        <v>0.99730883281095806</v>
      </c>
      <c r="AU24" s="8">
        <f t="shared" si="23"/>
        <v>0</v>
      </c>
      <c r="AV24" s="38">
        <f t="shared" si="24"/>
        <v>28.901888076750001</v>
      </c>
      <c r="AW24" s="38">
        <f t="shared" si="25"/>
        <v>0</v>
      </c>
    </row>
    <row r="25" spans="1:49" x14ac:dyDescent="0.4">
      <c r="A25" s="21">
        <v>74</v>
      </c>
      <c r="B25" s="21" t="s">
        <v>94</v>
      </c>
      <c r="C25" s="21">
        <v>56.854332999999997</v>
      </c>
      <c r="D25" s="21">
        <v>619840.80000000005</v>
      </c>
      <c r="E25" s="21">
        <v>6081595.2999999998</v>
      </c>
      <c r="F25" s="21">
        <v>773.6</v>
      </c>
      <c r="G25" s="21">
        <v>19</v>
      </c>
      <c r="H25" s="21">
        <v>0</v>
      </c>
      <c r="I25" s="21">
        <v>19.97</v>
      </c>
      <c r="J25" s="21">
        <v>0</v>
      </c>
      <c r="K25" s="21">
        <v>100</v>
      </c>
      <c r="L25" s="21">
        <v>3.6</v>
      </c>
      <c r="M25" s="21">
        <v>100</v>
      </c>
      <c r="N25" s="21">
        <v>0</v>
      </c>
      <c r="O25" s="35">
        <v>18</v>
      </c>
      <c r="P25" s="21">
        <v>90</v>
      </c>
      <c r="Q25" s="4">
        <v>781.16</v>
      </c>
      <c r="R25" s="4">
        <v>30.899999619999999</v>
      </c>
      <c r="S25" s="4">
        <f t="shared" si="26"/>
        <v>71.891999999999996</v>
      </c>
      <c r="T25" s="5">
        <f t="shared" si="0"/>
        <v>3.4412021192905757</v>
      </c>
      <c r="U25" s="8">
        <f t="shared" si="1"/>
        <v>531.73540748271887</v>
      </c>
      <c r="V25" s="8">
        <f t="shared" si="2"/>
        <v>415370.43090920063</v>
      </c>
      <c r="W25" s="3">
        <f t="shared" si="3"/>
        <v>4153704309.0920062</v>
      </c>
      <c r="X25" s="5">
        <f t="shared" si="4"/>
        <v>4.1537043090920065</v>
      </c>
      <c r="Y25" s="3">
        <f t="shared" si="27"/>
        <v>0.5</v>
      </c>
      <c r="Z25" s="3">
        <f t="shared" si="5"/>
        <v>11.74</v>
      </c>
      <c r="AA25" s="3">
        <f t="shared" si="6"/>
        <v>0.33600000000000002</v>
      </c>
      <c r="AB25" s="5">
        <f t="shared" si="30"/>
        <v>0.68872534634051996</v>
      </c>
      <c r="AC25" s="8">
        <f t="shared" si="7"/>
        <v>0</v>
      </c>
      <c r="AD25" s="8">
        <f t="shared" si="8"/>
        <v>0</v>
      </c>
      <c r="AE25" s="8">
        <f t="shared" si="9"/>
        <v>10.248889082448214</v>
      </c>
      <c r="AF25" s="8">
        <f t="shared" si="10"/>
        <v>30.746667247344639</v>
      </c>
      <c r="AG25" s="3">
        <f t="shared" si="11"/>
        <v>0</v>
      </c>
      <c r="AH25" s="3">
        <f t="shared" si="12"/>
        <v>0</v>
      </c>
      <c r="AI25" s="9">
        <f t="shared" si="13"/>
        <v>18</v>
      </c>
      <c r="AJ25" s="3">
        <f t="shared" si="28"/>
        <v>71.891999999999996</v>
      </c>
      <c r="AK25" s="3">
        <f t="shared" si="14"/>
        <v>226.52475842498529</v>
      </c>
      <c r="AL25" s="3">
        <f t="shared" si="15"/>
        <v>0</v>
      </c>
      <c r="AM25" s="3">
        <f t="shared" si="16"/>
        <v>7.1891999999999998E-3</v>
      </c>
      <c r="AN25" s="9">
        <f t="shared" si="17"/>
        <v>2.9861811018924253E-2</v>
      </c>
      <c r="AO25" s="3">
        <f t="shared" si="18"/>
        <v>29861.811018924254</v>
      </c>
      <c r="AP25" s="8">
        <f t="shared" si="19"/>
        <v>43.358083418291912</v>
      </c>
      <c r="AQ25" s="10">
        <f t="shared" si="20"/>
        <v>184.91218102641704</v>
      </c>
      <c r="AR25" s="10">
        <f t="shared" si="21"/>
        <v>554.73654307925108</v>
      </c>
      <c r="AS25" s="8">
        <f t="shared" si="29"/>
        <v>2.4226527816016241</v>
      </c>
      <c r="AT25" s="8">
        <f t="shared" si="22"/>
        <v>7.5636839123123167E-3</v>
      </c>
      <c r="AU25" s="8">
        <f t="shared" si="23"/>
        <v>0</v>
      </c>
      <c r="AV25" s="38">
        <f t="shared" si="24"/>
        <v>46.605443917551781</v>
      </c>
      <c r="AW25" s="38">
        <f t="shared" si="25"/>
        <v>26.107665752655357</v>
      </c>
    </row>
    <row r="26" spans="1:49" x14ac:dyDescent="0.4">
      <c r="A26" s="21">
        <v>126</v>
      </c>
      <c r="B26" s="21" t="s">
        <v>94</v>
      </c>
      <c r="C26" s="21">
        <v>56.864032999999999</v>
      </c>
      <c r="D26" s="21">
        <v>620662.19999999995</v>
      </c>
      <c r="E26" s="21">
        <v>6082617.4000000004</v>
      </c>
      <c r="F26" s="21">
        <v>776.6</v>
      </c>
      <c r="G26" s="21">
        <v>11</v>
      </c>
      <c r="H26" s="21">
        <v>0</v>
      </c>
      <c r="I26" s="21">
        <v>69</v>
      </c>
      <c r="J26" s="21">
        <v>0</v>
      </c>
      <c r="K26" s="21">
        <v>100</v>
      </c>
      <c r="L26" s="21">
        <v>2.9</v>
      </c>
      <c r="M26" s="21">
        <v>100</v>
      </c>
      <c r="N26" s="21">
        <v>0</v>
      </c>
      <c r="O26" s="35">
        <v>8</v>
      </c>
      <c r="P26" s="21">
        <v>90</v>
      </c>
      <c r="Q26" s="4">
        <v>781.16</v>
      </c>
      <c r="R26" s="4">
        <v>30.899999619999999</v>
      </c>
      <c r="S26" s="4">
        <f t="shared" si="26"/>
        <v>200.1</v>
      </c>
      <c r="T26" s="5">
        <f t="shared" si="0"/>
        <v>2.5942500198766076</v>
      </c>
      <c r="U26" s="8">
        <f t="shared" si="1"/>
        <v>460.0070341833499</v>
      </c>
      <c r="V26" s="8">
        <f t="shared" si="2"/>
        <v>359339.09482266562</v>
      </c>
      <c r="W26" s="3">
        <f t="shared" si="3"/>
        <v>3593390948.226656</v>
      </c>
      <c r="X26" s="5">
        <f t="shared" si="4"/>
        <v>3.5933909482266562</v>
      </c>
      <c r="Y26" s="3">
        <f t="shared" si="27"/>
        <v>0.5</v>
      </c>
      <c r="Z26" s="3">
        <f t="shared" si="5"/>
        <v>11.74</v>
      </c>
      <c r="AA26" s="3">
        <f t="shared" si="6"/>
        <v>0.33600000000000002</v>
      </c>
      <c r="AB26" s="5">
        <f t="shared" si="30"/>
        <v>1.916957961981</v>
      </c>
      <c r="AC26" s="8">
        <f t="shared" si="7"/>
        <v>0</v>
      </c>
      <c r="AD26" s="8">
        <f t="shared" si="8"/>
        <v>0.64320362278099996</v>
      </c>
      <c r="AE26" s="8">
        <f t="shared" si="9"/>
        <v>28.526160148526785</v>
      </c>
      <c r="AF26" s="8">
        <f t="shared" si="10"/>
        <v>85.578480445580354</v>
      </c>
      <c r="AG26" s="3">
        <f t="shared" si="11"/>
        <v>0</v>
      </c>
      <c r="AH26" s="3">
        <f t="shared" si="12"/>
        <v>0</v>
      </c>
      <c r="AI26" s="9">
        <f t="shared" si="13"/>
        <v>8</v>
      </c>
      <c r="AJ26" s="3">
        <f t="shared" si="28"/>
        <v>200.1</v>
      </c>
      <c r="AK26" s="3">
        <f t="shared" si="14"/>
        <v>502.97075740294036</v>
      </c>
      <c r="AL26" s="3">
        <f t="shared" si="15"/>
        <v>0</v>
      </c>
      <c r="AM26" s="3">
        <f t="shared" si="16"/>
        <v>2.001E-2</v>
      </c>
      <c r="AN26" s="9">
        <f t="shared" si="17"/>
        <v>7.1903752874015389E-2</v>
      </c>
      <c r="AO26" s="3">
        <f t="shared" si="18"/>
        <v>71903.752874015394</v>
      </c>
      <c r="AP26" s="8">
        <f t="shared" si="19"/>
        <v>37.509300829794654</v>
      </c>
      <c r="AQ26" s="10">
        <f t="shared" si="20"/>
        <v>66.446649559476612</v>
      </c>
      <c r="AR26" s="10">
        <f t="shared" si="21"/>
        <v>199.33994867842983</v>
      </c>
      <c r="AS26" s="8">
        <f t="shared" si="29"/>
        <v>13.303420614547393</v>
      </c>
      <c r="AT26" s="8">
        <f t="shared" si="22"/>
        <v>1.6734472576321304</v>
      </c>
      <c r="AU26" s="8">
        <f t="shared" si="23"/>
        <v>0</v>
      </c>
      <c r="AV26" s="38">
        <f t="shared" si="24"/>
        <v>28.337872851473215</v>
      </c>
      <c r="AW26" s="38">
        <f t="shared" si="25"/>
        <v>0</v>
      </c>
    </row>
    <row r="27" spans="1:49" x14ac:dyDescent="0.4">
      <c r="A27" s="21">
        <v>75</v>
      </c>
      <c r="B27" s="21" t="s">
        <v>94</v>
      </c>
      <c r="C27" s="21">
        <v>63.341642</v>
      </c>
      <c r="D27" s="21">
        <v>619848.19999999995</v>
      </c>
      <c r="E27" s="21">
        <v>6081616.2000000002</v>
      </c>
      <c r="F27" s="21">
        <v>777.3</v>
      </c>
      <c r="G27" s="21">
        <v>14</v>
      </c>
      <c r="H27" s="21">
        <v>0</v>
      </c>
      <c r="I27" s="21">
        <v>15.33</v>
      </c>
      <c r="J27" s="21">
        <v>0</v>
      </c>
      <c r="K27" s="21">
        <v>100</v>
      </c>
      <c r="L27" s="21">
        <v>4</v>
      </c>
      <c r="M27" s="21">
        <v>100</v>
      </c>
      <c r="N27" s="21">
        <v>0</v>
      </c>
      <c r="O27" s="35">
        <v>5</v>
      </c>
      <c r="P27" s="21">
        <v>90</v>
      </c>
      <c r="Q27" s="4">
        <v>781.16</v>
      </c>
      <c r="R27" s="4">
        <v>30.899999619999999</v>
      </c>
      <c r="S27" s="4">
        <f t="shared" si="26"/>
        <v>61.32</v>
      </c>
      <c r="T27" s="5">
        <f t="shared" si="0"/>
        <v>2.9294544238463396</v>
      </c>
      <c r="U27" s="8">
        <f t="shared" si="1"/>
        <v>488.39549515554648</v>
      </c>
      <c r="V27" s="8">
        <f t="shared" si="2"/>
        <v>381515.02499570668</v>
      </c>
      <c r="W27" s="3">
        <f t="shared" si="3"/>
        <v>3815150249.957067</v>
      </c>
      <c r="X27" s="5">
        <f t="shared" si="4"/>
        <v>3.8151502499570671</v>
      </c>
      <c r="Y27" s="3">
        <f t="shared" si="27"/>
        <v>0.5</v>
      </c>
      <c r="Z27" s="3">
        <f t="shared" si="5"/>
        <v>11.74</v>
      </c>
      <c r="AA27" s="3">
        <f t="shared" si="6"/>
        <v>0.33600000000000002</v>
      </c>
      <c r="AB27" s="5">
        <f t="shared" si="30"/>
        <v>0.58744558834920013</v>
      </c>
      <c r="AC27" s="8">
        <f t="shared" si="7"/>
        <v>0</v>
      </c>
      <c r="AD27" s="8">
        <f t="shared" si="8"/>
        <v>0</v>
      </c>
      <c r="AE27" s="8">
        <f t="shared" si="9"/>
        <v>8.7417498266250018</v>
      </c>
      <c r="AF27" s="8">
        <f t="shared" si="10"/>
        <v>26.225249479875004</v>
      </c>
      <c r="AG27" s="3">
        <f t="shared" si="11"/>
        <v>0</v>
      </c>
      <c r="AH27" s="3">
        <f t="shared" si="12"/>
        <v>0</v>
      </c>
      <c r="AI27" s="9">
        <f t="shared" si="13"/>
        <v>5</v>
      </c>
      <c r="AJ27" s="3">
        <f t="shared" si="28"/>
        <v>61.32</v>
      </c>
      <c r="AK27" s="3">
        <f t="shared" si="14"/>
        <v>803.15992719688995</v>
      </c>
      <c r="AL27" s="3">
        <f t="shared" si="15"/>
        <v>0</v>
      </c>
      <c r="AM27" s="3">
        <f t="shared" si="16"/>
        <v>6.1320000000000003E-3</v>
      </c>
      <c r="AN27" s="9">
        <f t="shared" si="17"/>
        <v>2.3394501332736736E-2</v>
      </c>
      <c r="AO27" s="3">
        <f t="shared" si="18"/>
        <v>23394.501332736734</v>
      </c>
      <c r="AP27" s="8">
        <f t="shared" si="19"/>
        <v>39.824116133850595</v>
      </c>
      <c r="AQ27" s="10">
        <f t="shared" si="20"/>
        <v>241.52922567469855</v>
      </c>
      <c r="AR27" s="10">
        <f t="shared" si="21"/>
        <v>724.58767702409557</v>
      </c>
      <c r="AS27" s="8">
        <f t="shared" si="29"/>
        <v>0.91999848219646096</v>
      </c>
      <c r="AT27" s="8">
        <f t="shared" si="22"/>
        <v>4.9098592342440215E-4</v>
      </c>
      <c r="AU27" s="8">
        <f t="shared" si="23"/>
        <v>0</v>
      </c>
      <c r="AV27" s="38">
        <f t="shared" si="24"/>
        <v>54.599892173374997</v>
      </c>
      <c r="AW27" s="38">
        <f t="shared" si="25"/>
        <v>37.116392520124997</v>
      </c>
    </row>
    <row r="28" spans="1:49" x14ac:dyDescent="0.4">
      <c r="A28" s="21">
        <v>108</v>
      </c>
      <c r="B28" s="21" t="s">
        <v>94</v>
      </c>
      <c r="C28" s="21">
        <v>66.933215000000004</v>
      </c>
      <c r="D28" s="21">
        <v>620294.1</v>
      </c>
      <c r="E28" s="21">
        <v>6082423.2000000002</v>
      </c>
      <c r="F28" s="21">
        <v>778.5</v>
      </c>
      <c r="G28" s="21">
        <v>9</v>
      </c>
      <c r="H28" s="21">
        <v>0</v>
      </c>
      <c r="I28" s="21">
        <v>33</v>
      </c>
      <c r="J28" s="21">
        <v>0</v>
      </c>
      <c r="K28" s="21">
        <v>100</v>
      </c>
      <c r="L28" s="21">
        <v>4.5</v>
      </c>
      <c r="M28" s="21">
        <v>100</v>
      </c>
      <c r="N28" s="21">
        <v>0</v>
      </c>
      <c r="O28" s="35">
        <v>6</v>
      </c>
      <c r="P28" s="21">
        <v>90</v>
      </c>
      <c r="Q28" s="4">
        <v>781.16</v>
      </c>
      <c r="R28" s="4">
        <v>30.899999619999999</v>
      </c>
      <c r="S28" s="4">
        <f t="shared" si="26"/>
        <v>148.5</v>
      </c>
      <c r="T28" s="5">
        <f t="shared" si="0"/>
        <v>2.3662432634748507</v>
      </c>
      <c r="U28" s="8">
        <f t="shared" si="1"/>
        <v>440.69714198368507</v>
      </c>
      <c r="V28" s="8">
        <f t="shared" si="2"/>
        <v>344254.9794319754</v>
      </c>
      <c r="W28" s="3">
        <f t="shared" si="3"/>
        <v>3442549794.3197541</v>
      </c>
      <c r="X28" s="5">
        <f t="shared" si="4"/>
        <v>3.4425497943197541</v>
      </c>
      <c r="Y28" s="3">
        <f t="shared" si="27"/>
        <v>0.5</v>
      </c>
      <c r="Z28" s="3">
        <f t="shared" si="5"/>
        <v>11.74</v>
      </c>
      <c r="AA28" s="3">
        <f t="shared" si="6"/>
        <v>0.33600000000000002</v>
      </c>
      <c r="AB28" s="5">
        <f t="shared" si="30"/>
        <v>1.4226299717849999</v>
      </c>
      <c r="AC28" s="8">
        <f t="shared" si="7"/>
        <v>0</v>
      </c>
      <c r="AD28" s="8">
        <f t="shared" si="8"/>
        <v>0</v>
      </c>
      <c r="AE28" s="8">
        <f t="shared" si="9"/>
        <v>21.170088865848211</v>
      </c>
      <c r="AF28" s="8">
        <f t="shared" si="10"/>
        <v>63.510266597544629</v>
      </c>
      <c r="AG28" s="3">
        <f t="shared" si="11"/>
        <v>0</v>
      </c>
      <c r="AH28" s="3">
        <f t="shared" si="12"/>
        <v>0</v>
      </c>
      <c r="AI28" s="9">
        <f t="shared" si="13"/>
        <v>6</v>
      </c>
      <c r="AJ28" s="3">
        <f t="shared" si="28"/>
        <v>148.5</v>
      </c>
      <c r="AK28" s="3">
        <f t="shared" si="14"/>
        <v>669.67405634539386</v>
      </c>
      <c r="AL28" s="3">
        <f t="shared" si="15"/>
        <v>0</v>
      </c>
      <c r="AM28" s="3">
        <f t="shared" si="16"/>
        <v>1.485E-2</v>
      </c>
      <c r="AN28" s="9">
        <f t="shared" si="17"/>
        <v>5.1121864445648348E-2</v>
      </c>
      <c r="AO28" s="3">
        <f t="shared" si="18"/>
        <v>51121.864445648345</v>
      </c>
      <c r="AP28" s="8">
        <f t="shared" si="19"/>
        <v>35.934758482210803</v>
      </c>
      <c r="AQ28" s="10">
        <f t="shared" si="20"/>
        <v>105.38959854183278</v>
      </c>
      <c r="AR28" s="10">
        <f t="shared" si="21"/>
        <v>316.16879562549832</v>
      </c>
      <c r="AS28" s="8">
        <f t="shared" si="29"/>
        <v>6.9422594637862289</v>
      </c>
      <c r="AT28" s="8">
        <f t="shared" si="22"/>
        <v>0.25910337080710233</v>
      </c>
      <c r="AU28" s="8">
        <f t="shared" si="23"/>
        <v>0</v>
      </c>
      <c r="AV28" s="38">
        <f t="shared" si="24"/>
        <v>45.76312613415179</v>
      </c>
      <c r="AW28" s="38">
        <f t="shared" si="25"/>
        <v>3.4229484024553756</v>
      </c>
    </row>
    <row r="29" spans="1:49" x14ac:dyDescent="0.4">
      <c r="A29" s="21">
        <v>76</v>
      </c>
      <c r="B29" s="21" t="s">
        <v>94</v>
      </c>
      <c r="C29" s="21">
        <v>55.777912999999998</v>
      </c>
      <c r="D29" s="21">
        <v>619830.69999999995</v>
      </c>
      <c r="E29" s="21">
        <v>6081625.7000000002</v>
      </c>
      <c r="F29" s="21">
        <v>781.9</v>
      </c>
      <c r="G29" s="21">
        <v>13</v>
      </c>
      <c r="H29" s="21">
        <v>0</v>
      </c>
      <c r="I29" s="21">
        <v>26.44</v>
      </c>
      <c r="J29" s="21">
        <v>0</v>
      </c>
      <c r="K29" s="21">
        <v>100</v>
      </c>
      <c r="L29" s="21">
        <v>3.9</v>
      </c>
      <c r="M29" s="21">
        <v>100</v>
      </c>
      <c r="N29" s="21">
        <v>0</v>
      </c>
      <c r="O29" s="35">
        <v>3</v>
      </c>
      <c r="P29" s="21">
        <v>90</v>
      </c>
      <c r="Q29" s="4">
        <v>781.16</v>
      </c>
      <c r="R29" s="4">
        <v>30.899999619999999</v>
      </c>
      <c r="S29" s="4">
        <f t="shared" si="26"/>
        <v>103.116</v>
      </c>
      <c r="T29" s="5">
        <f t="shared" si="0"/>
        <v>2.8192668236646963</v>
      </c>
      <c r="U29" s="8">
        <f t="shared" si="1"/>
        <v>479.0637072961631</v>
      </c>
      <c r="V29" s="8">
        <f t="shared" si="2"/>
        <v>374225.40559147077</v>
      </c>
      <c r="W29" s="3">
        <f t="shared" si="3"/>
        <v>3742254055.9147077</v>
      </c>
      <c r="X29" s="5">
        <f t="shared" si="4"/>
        <v>3.7422540559147075</v>
      </c>
      <c r="Y29" s="3">
        <f t="shared" si="27"/>
        <v>0.5</v>
      </c>
      <c r="Z29" s="3">
        <f t="shared" si="5"/>
        <v>11.74</v>
      </c>
      <c r="AA29" s="3">
        <f t="shared" si="6"/>
        <v>0.33600000000000002</v>
      </c>
      <c r="AB29" s="5">
        <f t="shared" si="30"/>
        <v>0.98785126040796001</v>
      </c>
      <c r="AC29" s="8">
        <f t="shared" si="7"/>
        <v>0</v>
      </c>
      <c r="AD29" s="8">
        <f t="shared" si="8"/>
        <v>0</v>
      </c>
      <c r="AE29" s="8">
        <f t="shared" si="9"/>
        <v>14.700167565594642</v>
      </c>
      <c r="AF29" s="8">
        <f t="shared" si="10"/>
        <v>44.100502696783927</v>
      </c>
      <c r="AG29" s="3">
        <f t="shared" si="11"/>
        <v>0</v>
      </c>
      <c r="AH29" s="3">
        <f t="shared" si="12"/>
        <v>0</v>
      </c>
      <c r="AI29" s="9">
        <f t="shared" si="13"/>
        <v>3</v>
      </c>
      <c r="AJ29" s="3">
        <f t="shared" si="28"/>
        <v>103.116</v>
      </c>
      <c r="AK29" s="3">
        <f t="shared" si="14"/>
        <v>1337.5125826508179</v>
      </c>
      <c r="AL29" s="3">
        <f t="shared" si="15"/>
        <v>0</v>
      </c>
      <c r="AM29" s="3">
        <f t="shared" si="16"/>
        <v>1.0311600000000001E-2</v>
      </c>
      <c r="AN29" s="9">
        <f t="shared" si="17"/>
        <v>3.8588626922970097E-2</v>
      </c>
      <c r="AO29" s="3">
        <f t="shared" si="18"/>
        <v>38588.626922970099</v>
      </c>
      <c r="AP29" s="8">
        <f t="shared" si="19"/>
        <v>39.063195512889138</v>
      </c>
      <c r="AQ29" s="10">
        <f t="shared" si="20"/>
        <v>126.47908660702785</v>
      </c>
      <c r="AR29" s="10">
        <f t="shared" si="21"/>
        <v>379.43725982108356</v>
      </c>
      <c r="AS29" s="8">
        <f t="shared" si="29"/>
        <v>5.4309114881609304</v>
      </c>
      <c r="AT29" s="8">
        <f t="shared" si="22"/>
        <v>0.10497421601509599</v>
      </c>
      <c r="AU29" s="8">
        <f t="shared" si="23"/>
        <v>0</v>
      </c>
      <c r="AV29" s="38">
        <f t="shared" si="24"/>
        <v>41.077745434405358</v>
      </c>
      <c r="AW29" s="38">
        <f t="shared" si="25"/>
        <v>11.677410303216071</v>
      </c>
    </row>
    <row r="30" spans="1:49" x14ac:dyDescent="0.4">
      <c r="A30" s="21">
        <v>107</v>
      </c>
      <c r="B30" s="21" t="s">
        <v>94</v>
      </c>
      <c r="C30" s="21">
        <v>76.281851000000003</v>
      </c>
      <c r="D30" s="21">
        <v>620287.9</v>
      </c>
      <c r="E30" s="21">
        <v>6082390.7999999998</v>
      </c>
      <c r="F30" s="21">
        <v>783.3</v>
      </c>
      <c r="G30" s="21">
        <v>20</v>
      </c>
      <c r="H30" s="21">
        <v>0</v>
      </c>
      <c r="I30" s="21">
        <v>27.3</v>
      </c>
      <c r="J30" s="21">
        <v>0</v>
      </c>
      <c r="K30" s="21">
        <v>100</v>
      </c>
      <c r="L30" s="21">
        <v>4.2</v>
      </c>
      <c r="M30" s="21">
        <v>100</v>
      </c>
      <c r="N30" s="21">
        <v>0</v>
      </c>
      <c r="O30" s="35">
        <v>15</v>
      </c>
      <c r="P30" s="21">
        <v>90</v>
      </c>
      <c r="Q30" s="4">
        <v>781.16</v>
      </c>
      <c r="R30" s="4">
        <v>30.899999619999999</v>
      </c>
      <c r="S30" s="4">
        <f t="shared" si="26"/>
        <v>114.66000000000001</v>
      </c>
      <c r="T30" s="5">
        <f t="shared" si="0"/>
        <v>3.533596116398225</v>
      </c>
      <c r="U30" s="8">
        <f t="shared" si="1"/>
        <v>539.56025509776566</v>
      </c>
      <c r="V30" s="8">
        <f t="shared" si="2"/>
        <v>421482.88887217059</v>
      </c>
      <c r="W30" s="3">
        <f t="shared" si="3"/>
        <v>4214828888.7217059</v>
      </c>
      <c r="X30" s="5">
        <f t="shared" si="4"/>
        <v>4.2148288887217058</v>
      </c>
      <c r="Y30" s="3">
        <f t="shared" si="27"/>
        <v>0.5</v>
      </c>
      <c r="Z30" s="3">
        <f t="shared" si="5"/>
        <v>11.74</v>
      </c>
      <c r="AA30" s="3">
        <f t="shared" si="6"/>
        <v>0.33600000000000002</v>
      </c>
      <c r="AB30" s="5">
        <f t="shared" si="30"/>
        <v>1.0984427782146002</v>
      </c>
      <c r="AC30" s="8">
        <f t="shared" si="7"/>
        <v>0</v>
      </c>
      <c r="AD30" s="8">
        <f t="shared" si="8"/>
        <v>0</v>
      </c>
      <c r="AE30" s="8">
        <f t="shared" si="9"/>
        <v>16.345874675812503</v>
      </c>
      <c r="AF30" s="8">
        <f t="shared" si="10"/>
        <v>49.037624027437509</v>
      </c>
      <c r="AG30" s="3">
        <f t="shared" si="11"/>
        <v>0</v>
      </c>
      <c r="AH30" s="3">
        <f t="shared" si="12"/>
        <v>0</v>
      </c>
      <c r="AI30" s="9">
        <f t="shared" si="13"/>
        <v>15</v>
      </c>
      <c r="AJ30" s="3">
        <f t="shared" si="28"/>
        <v>114.66000000000001</v>
      </c>
      <c r="AK30" s="3">
        <f t="shared" si="14"/>
        <v>270.45923136093916</v>
      </c>
      <c r="AL30" s="3">
        <f t="shared" si="15"/>
        <v>0</v>
      </c>
      <c r="AM30" s="3">
        <f t="shared" si="16"/>
        <v>1.1466E-2</v>
      </c>
      <c r="AN30" s="9">
        <f t="shared" si="17"/>
        <v>4.8327228038083078E-2</v>
      </c>
      <c r="AO30" s="3">
        <f t="shared" si="18"/>
        <v>48327.228038083078</v>
      </c>
      <c r="AP30" s="8">
        <f t="shared" si="19"/>
        <v>43.996127059648714</v>
      </c>
      <c r="AQ30" s="10">
        <f t="shared" si="20"/>
        <v>155.5578038555025</v>
      </c>
      <c r="AR30" s="10">
        <f t="shared" si="21"/>
        <v>466.67341156650747</v>
      </c>
      <c r="AS30" s="8">
        <f t="shared" si="29"/>
        <v>3.8860758460228002</v>
      </c>
      <c r="AT30" s="8">
        <f t="shared" si="22"/>
        <v>3.0318305354711559E-2</v>
      </c>
      <c r="AU30" s="8">
        <f t="shared" si="23"/>
        <v>0</v>
      </c>
      <c r="AV30" s="38">
        <f t="shared" si="24"/>
        <v>59.9359763241875</v>
      </c>
      <c r="AW30" s="38">
        <f t="shared" si="25"/>
        <v>27.244226972562494</v>
      </c>
    </row>
    <row r="31" spans="1:49" x14ac:dyDescent="0.4">
      <c r="A31" s="21">
        <v>77</v>
      </c>
      <c r="B31" s="21" t="s">
        <v>94</v>
      </c>
      <c r="C31" s="21">
        <v>4.3078500000000002</v>
      </c>
      <c r="D31" s="21">
        <v>619836</v>
      </c>
      <c r="E31" s="21">
        <v>6081651.5999999996</v>
      </c>
      <c r="F31" s="21">
        <v>786.2</v>
      </c>
      <c r="G31" s="21">
        <v>17</v>
      </c>
      <c r="H31" s="21">
        <v>0</v>
      </c>
      <c r="I31" s="21">
        <v>25.85</v>
      </c>
      <c r="J31" s="21">
        <v>0</v>
      </c>
      <c r="K31" s="21">
        <v>100</v>
      </c>
      <c r="L31" s="21">
        <v>3.4</v>
      </c>
      <c r="M31" s="21">
        <v>100</v>
      </c>
      <c r="N31" s="21">
        <v>0</v>
      </c>
      <c r="O31" s="35">
        <v>11</v>
      </c>
      <c r="P31" s="21">
        <v>90</v>
      </c>
      <c r="Q31" s="4">
        <v>781.16</v>
      </c>
      <c r="R31" s="4">
        <v>30.899999619999999</v>
      </c>
      <c r="S31" s="4">
        <f t="shared" si="26"/>
        <v>87.89</v>
      </c>
      <c r="T31" s="5">
        <f t="shared" si="0"/>
        <v>3.2456920022533735</v>
      </c>
      <c r="U31" s="8">
        <f t="shared" si="1"/>
        <v>515.17765567083813</v>
      </c>
      <c r="V31" s="8">
        <f t="shared" si="2"/>
        <v>402436.17750383192</v>
      </c>
      <c r="W31" s="3">
        <f t="shared" si="3"/>
        <v>4024361775.0383191</v>
      </c>
      <c r="X31" s="5">
        <f t="shared" si="4"/>
        <v>4.0243617750383187</v>
      </c>
      <c r="Y31" s="3">
        <f t="shared" si="27"/>
        <v>0.5</v>
      </c>
      <c r="Z31" s="3">
        <f t="shared" si="5"/>
        <v>11.74</v>
      </c>
      <c r="AA31" s="3">
        <f t="shared" si="6"/>
        <v>0.33600000000000002</v>
      </c>
      <c r="AB31" s="5">
        <f t="shared" si="30"/>
        <v>0.84198618330090003</v>
      </c>
      <c r="AC31" s="8">
        <f t="shared" si="7"/>
        <v>0.55249866330089992</v>
      </c>
      <c r="AD31" s="8">
        <f t="shared" si="8"/>
        <v>0.74549034330090003</v>
      </c>
      <c r="AE31" s="8">
        <f t="shared" si="9"/>
        <v>12.529556299120534</v>
      </c>
      <c r="AF31" s="8">
        <f t="shared" si="10"/>
        <v>37.5886688973616</v>
      </c>
      <c r="AG31" s="3">
        <f t="shared" si="11"/>
        <v>0</v>
      </c>
      <c r="AH31" s="3">
        <f t="shared" si="12"/>
        <v>0</v>
      </c>
      <c r="AI31" s="9">
        <f t="shared" si="13"/>
        <v>11</v>
      </c>
      <c r="AJ31" s="3">
        <f t="shared" si="28"/>
        <v>87.89</v>
      </c>
      <c r="AK31" s="3">
        <f t="shared" si="14"/>
        <v>366.85901449174941</v>
      </c>
      <c r="AL31" s="3">
        <f t="shared" si="15"/>
        <v>0.55249866330089992</v>
      </c>
      <c r="AM31" s="3">
        <f t="shared" si="16"/>
        <v>8.7889999999999999E-3</v>
      </c>
      <c r="AN31" s="9">
        <f t="shared" si="17"/>
        <v>3.5370115640811786E-2</v>
      </c>
      <c r="AO31" s="3">
        <f t="shared" si="18"/>
        <v>35370.115640811789</v>
      </c>
      <c r="AP31" s="8">
        <f t="shared" si="19"/>
        <v>42.007952555881303</v>
      </c>
      <c r="AQ31" s="10">
        <f t="shared" si="20"/>
        <v>11.460501598933645</v>
      </c>
      <c r="AR31" s="10">
        <f t="shared" si="21"/>
        <v>34.38150479680094</v>
      </c>
      <c r="AS31" s="8">
        <f t="shared" si="29"/>
        <v>35.13069051177564</v>
      </c>
      <c r="AT31" s="8">
        <f t="shared" si="22"/>
        <v>24.569540190634342</v>
      </c>
      <c r="AU31" s="8">
        <f t="shared" si="23"/>
        <v>13.574638113243212</v>
      </c>
      <c r="AV31" s="38">
        <f t="shared" si="24"/>
        <v>0</v>
      </c>
      <c r="AW31" s="38">
        <f t="shared" si="25"/>
        <v>0</v>
      </c>
    </row>
    <row r="32" spans="1:49" x14ac:dyDescent="0.4">
      <c r="A32" s="21">
        <v>127</v>
      </c>
      <c r="B32" s="21" t="s">
        <v>94</v>
      </c>
      <c r="C32" s="21">
        <v>109.3621</v>
      </c>
      <c r="D32" s="21">
        <v>620704.19999999995</v>
      </c>
      <c r="E32" s="21">
        <v>6082561.9000000004</v>
      </c>
      <c r="F32" s="21">
        <v>787.3</v>
      </c>
      <c r="G32" s="21">
        <v>19</v>
      </c>
      <c r="H32" s="21">
        <v>0</v>
      </c>
      <c r="I32" s="21">
        <v>60</v>
      </c>
      <c r="J32" s="21">
        <v>0</v>
      </c>
      <c r="K32" s="21">
        <v>100</v>
      </c>
      <c r="L32" s="21">
        <v>3.2</v>
      </c>
      <c r="M32" s="21">
        <v>100</v>
      </c>
      <c r="N32" s="21">
        <v>0</v>
      </c>
      <c r="O32" s="35">
        <v>10</v>
      </c>
      <c r="P32" s="21">
        <v>90</v>
      </c>
      <c r="Q32" s="4">
        <v>781.16</v>
      </c>
      <c r="R32" s="4">
        <v>30.899999619999999</v>
      </c>
      <c r="S32" s="4">
        <f t="shared" si="26"/>
        <v>192</v>
      </c>
      <c r="T32" s="5">
        <f t="shared" si="0"/>
        <v>3.4412021192905757</v>
      </c>
      <c r="U32" s="8">
        <f t="shared" si="1"/>
        <v>531.73540748271887</v>
      </c>
      <c r="V32" s="8">
        <f t="shared" si="2"/>
        <v>415370.43090920063</v>
      </c>
      <c r="W32" s="3">
        <f t="shared" si="3"/>
        <v>4153704309.0920062</v>
      </c>
      <c r="X32" s="5">
        <f t="shared" si="4"/>
        <v>4.1537043090920065</v>
      </c>
      <c r="Y32" s="3">
        <f t="shared" si="27"/>
        <v>0.5</v>
      </c>
      <c r="Z32" s="3">
        <f t="shared" si="5"/>
        <v>11.74</v>
      </c>
      <c r="AA32" s="3">
        <f t="shared" si="6"/>
        <v>0.33600000000000002</v>
      </c>
      <c r="AB32" s="5">
        <f t="shared" si="30"/>
        <v>1.83935996352</v>
      </c>
      <c r="AC32" s="8">
        <f t="shared" si="7"/>
        <v>0</v>
      </c>
      <c r="AD32" s="8">
        <f t="shared" si="8"/>
        <v>0</v>
      </c>
      <c r="AE32" s="8">
        <f t="shared" si="9"/>
        <v>27.37142802857143</v>
      </c>
      <c r="AF32" s="8">
        <f t="shared" si="10"/>
        <v>82.114284085714289</v>
      </c>
      <c r="AG32" s="3">
        <f t="shared" si="11"/>
        <v>0</v>
      </c>
      <c r="AH32" s="3">
        <f t="shared" si="12"/>
        <v>0</v>
      </c>
      <c r="AI32" s="9">
        <f t="shared" si="13"/>
        <v>10</v>
      </c>
      <c r="AJ32" s="3">
        <f t="shared" si="28"/>
        <v>192</v>
      </c>
      <c r="AK32" s="3">
        <f t="shared" si="14"/>
        <v>403.1139338200544</v>
      </c>
      <c r="AL32" s="3">
        <f t="shared" si="15"/>
        <v>0</v>
      </c>
      <c r="AM32" s="3">
        <f t="shared" si="16"/>
        <v>1.9199999999999998E-2</v>
      </c>
      <c r="AN32" s="9">
        <f t="shared" si="17"/>
        <v>7.9751122734566512E-2</v>
      </c>
      <c r="AO32" s="3">
        <f t="shared" si="18"/>
        <v>79751.12273456651</v>
      </c>
      <c r="AP32" s="8">
        <f t="shared" si="19"/>
        <v>43.358083418291898</v>
      </c>
      <c r="AQ32" s="10">
        <f t="shared" si="20"/>
        <v>133.18279665672213</v>
      </c>
      <c r="AR32" s="10">
        <f t="shared" si="21"/>
        <v>399.5483899701664</v>
      </c>
      <c r="AS32" s="8">
        <f t="shared" si="29"/>
        <v>5.4294700185310711</v>
      </c>
      <c r="AT32" s="8">
        <f t="shared" si="22"/>
        <v>8.5139709638557867E-2</v>
      </c>
      <c r="AU32" s="8">
        <f t="shared" si="23"/>
        <v>0</v>
      </c>
      <c r="AV32" s="38">
        <f t="shared" si="24"/>
        <v>81.990671971428569</v>
      </c>
      <c r="AW32" s="38">
        <f t="shared" si="25"/>
        <v>27.247815914285709</v>
      </c>
    </row>
    <row r="33" spans="1:49" x14ac:dyDescent="0.4">
      <c r="A33" s="21">
        <v>106</v>
      </c>
      <c r="B33" s="21" t="s">
        <v>94</v>
      </c>
      <c r="C33" s="21">
        <v>99.606858000000003</v>
      </c>
      <c r="D33" s="21">
        <v>620302.4</v>
      </c>
      <c r="E33" s="21">
        <v>6082367.5999999996</v>
      </c>
      <c r="F33" s="21">
        <v>788.5</v>
      </c>
      <c r="G33" s="21">
        <v>11</v>
      </c>
      <c r="H33" s="21">
        <v>0</v>
      </c>
      <c r="I33" s="21">
        <v>60.95</v>
      </c>
      <c r="J33" s="21">
        <v>0</v>
      </c>
      <c r="K33" s="21">
        <v>100</v>
      </c>
      <c r="L33" s="21">
        <v>3.5</v>
      </c>
      <c r="M33" s="21">
        <v>100</v>
      </c>
      <c r="N33" s="21">
        <v>0</v>
      </c>
      <c r="O33" s="35">
        <v>4</v>
      </c>
      <c r="P33" s="21">
        <v>90</v>
      </c>
      <c r="Q33" s="4">
        <v>781.16</v>
      </c>
      <c r="R33" s="4">
        <v>30.899999619999999</v>
      </c>
      <c r="S33" s="4">
        <f t="shared" si="26"/>
        <v>213.32500000000002</v>
      </c>
      <c r="T33" s="5">
        <f t="shared" si="0"/>
        <v>2.5942500198766076</v>
      </c>
      <c r="U33" s="8">
        <f t="shared" si="1"/>
        <v>460.0070341833499</v>
      </c>
      <c r="V33" s="8">
        <f t="shared" si="2"/>
        <v>359339.09482266562</v>
      </c>
      <c r="W33" s="3">
        <f t="shared" si="3"/>
        <v>3593390948.226656</v>
      </c>
      <c r="X33" s="5">
        <f t="shared" si="4"/>
        <v>3.5933909482266562</v>
      </c>
      <c r="Y33" s="3">
        <f t="shared" si="27"/>
        <v>0.5</v>
      </c>
      <c r="Z33" s="3">
        <f t="shared" si="5"/>
        <v>11.74</v>
      </c>
      <c r="AA33" s="3">
        <f t="shared" si="6"/>
        <v>0.33600000000000002</v>
      </c>
      <c r="AB33" s="5">
        <f t="shared" si="30"/>
        <v>2.0436534594682501</v>
      </c>
      <c r="AC33" s="8">
        <f t="shared" si="7"/>
        <v>0</v>
      </c>
      <c r="AD33" s="8">
        <f t="shared" si="8"/>
        <v>0</v>
      </c>
      <c r="AE33" s="8">
        <f t="shared" si="9"/>
        <v>30.411509813515622</v>
      </c>
      <c r="AF33" s="8">
        <f t="shared" si="10"/>
        <v>91.234529440546865</v>
      </c>
      <c r="AG33" s="3">
        <f t="shared" si="11"/>
        <v>0</v>
      </c>
      <c r="AH33" s="3">
        <f t="shared" si="12"/>
        <v>0</v>
      </c>
      <c r="AI33" s="9">
        <f t="shared" si="13"/>
        <v>4</v>
      </c>
      <c r="AJ33" s="3">
        <f t="shared" si="28"/>
        <v>213.32500000000002</v>
      </c>
      <c r="AK33" s="3">
        <f t="shared" si="14"/>
        <v>1003.4910918342573</v>
      </c>
      <c r="AL33" s="3">
        <f t="shared" si="15"/>
        <v>0</v>
      </c>
      <c r="AM33" s="3">
        <f t="shared" si="16"/>
        <v>2.1332500000000001E-2</v>
      </c>
      <c r="AN33" s="9">
        <f t="shared" si="17"/>
        <v>7.6656012403045148E-2</v>
      </c>
      <c r="AO33" s="3">
        <f t="shared" si="18"/>
        <v>76656.012403045155</v>
      </c>
      <c r="AP33" s="8">
        <f t="shared" si="19"/>
        <v>37.509300829794661</v>
      </c>
      <c r="AQ33" s="10">
        <f t="shared" si="20"/>
        <v>109.17671040864958</v>
      </c>
      <c r="AR33" s="10">
        <f t="shared" si="21"/>
        <v>327.53013122594876</v>
      </c>
      <c r="AS33" s="8">
        <f t="shared" si="29"/>
        <v>6.8307347316485441</v>
      </c>
      <c r="AT33" s="8">
        <f t="shared" si="22"/>
        <v>0.22652926824714736</v>
      </c>
      <c r="AU33" s="8">
        <f t="shared" si="23"/>
        <v>0</v>
      </c>
      <c r="AV33" s="38">
        <f t="shared" si="24"/>
        <v>69.195348186484381</v>
      </c>
      <c r="AW33" s="38">
        <f t="shared" si="25"/>
        <v>8.3723285594531376</v>
      </c>
    </row>
    <row r="34" spans="1:49" x14ac:dyDescent="0.4">
      <c r="A34" s="21">
        <v>78</v>
      </c>
      <c r="B34" s="21" t="s">
        <v>94</v>
      </c>
      <c r="C34" s="21">
        <v>93.388644999999997</v>
      </c>
      <c r="D34" s="21">
        <v>619847.80000000005</v>
      </c>
      <c r="E34" s="21">
        <v>6081674.5999999996</v>
      </c>
      <c r="F34" s="21">
        <v>794.2</v>
      </c>
      <c r="G34" s="21">
        <v>14</v>
      </c>
      <c r="H34" s="21">
        <v>0</v>
      </c>
      <c r="I34" s="21">
        <v>28.81</v>
      </c>
      <c r="J34" s="21">
        <v>0</v>
      </c>
      <c r="K34" s="21">
        <v>100</v>
      </c>
      <c r="L34" s="21">
        <v>5.6</v>
      </c>
      <c r="M34" s="21">
        <v>100</v>
      </c>
      <c r="N34" s="21">
        <v>0</v>
      </c>
      <c r="O34" s="35">
        <v>15</v>
      </c>
      <c r="P34" s="21">
        <v>90</v>
      </c>
      <c r="Q34" s="4">
        <v>781.16</v>
      </c>
      <c r="R34" s="4">
        <v>30.899999619999999</v>
      </c>
      <c r="S34" s="4">
        <f t="shared" si="26"/>
        <v>161.33599999999998</v>
      </c>
      <c r="T34" s="5">
        <f t="shared" si="0"/>
        <v>2.9294544238463396</v>
      </c>
      <c r="U34" s="8">
        <f t="shared" si="1"/>
        <v>488.39549515554648</v>
      </c>
      <c r="V34" s="8">
        <f t="shared" si="2"/>
        <v>381515.02499570668</v>
      </c>
      <c r="W34" s="3">
        <f t="shared" si="3"/>
        <v>3815150249.957067</v>
      </c>
      <c r="X34" s="5">
        <f t="shared" si="4"/>
        <v>3.8151502499570671</v>
      </c>
      <c r="Y34" s="3">
        <f t="shared" si="27"/>
        <v>0.5</v>
      </c>
      <c r="Z34" s="3">
        <f t="shared" si="5"/>
        <v>11.74</v>
      </c>
      <c r="AA34" s="3">
        <f t="shared" si="6"/>
        <v>0.33600000000000002</v>
      </c>
      <c r="AB34" s="5">
        <f t="shared" si="30"/>
        <v>1.5455988493461599</v>
      </c>
      <c r="AC34" s="8">
        <f t="shared" si="7"/>
        <v>0</v>
      </c>
      <c r="AD34" s="8">
        <f t="shared" si="8"/>
        <v>0</v>
      </c>
      <c r="AE34" s="8">
        <f t="shared" si="9"/>
        <v>22.999982877174997</v>
      </c>
      <c r="AF34" s="8">
        <f t="shared" si="10"/>
        <v>68.999948631524987</v>
      </c>
      <c r="AG34" s="3">
        <f t="shared" si="11"/>
        <v>0</v>
      </c>
      <c r="AH34" s="3">
        <f t="shared" si="12"/>
        <v>0</v>
      </c>
      <c r="AI34" s="9">
        <f t="shared" si="13"/>
        <v>15</v>
      </c>
      <c r="AJ34" s="3">
        <f t="shared" si="28"/>
        <v>161.33599999999998</v>
      </c>
      <c r="AK34" s="3">
        <f t="shared" si="14"/>
        <v>270.45923136093916</v>
      </c>
      <c r="AL34" s="3">
        <f t="shared" si="15"/>
        <v>0</v>
      </c>
      <c r="AM34" s="3">
        <f t="shared" si="16"/>
        <v>1.6133599999999998E-2</v>
      </c>
      <c r="AN34" s="9">
        <f t="shared" si="17"/>
        <v>6.1552108072707327E-2</v>
      </c>
      <c r="AO34" s="3">
        <f t="shared" si="18"/>
        <v>61552.108072707328</v>
      </c>
      <c r="AP34" s="8">
        <f t="shared" si="19"/>
        <v>39.824116133850602</v>
      </c>
      <c r="AQ34" s="10">
        <f t="shared" si="20"/>
        <v>135.345963079938</v>
      </c>
      <c r="AR34" s="10">
        <f t="shared" si="21"/>
        <v>406.03788923981404</v>
      </c>
      <c r="AS34" s="8">
        <f t="shared" si="29"/>
        <v>4.8214544601017622</v>
      </c>
      <c r="AT34" s="8">
        <f t="shared" si="22"/>
        <v>7.0671110512632182E-2</v>
      </c>
      <c r="AU34" s="8">
        <f t="shared" si="23"/>
        <v>0</v>
      </c>
      <c r="AV34" s="38">
        <f t="shared" si="24"/>
        <v>70.388662122824996</v>
      </c>
      <c r="AW34" s="38">
        <f t="shared" si="25"/>
        <v>24.38869636847501</v>
      </c>
    </row>
    <row r="35" spans="1:49" x14ac:dyDescent="0.4">
      <c r="A35" s="21">
        <v>105</v>
      </c>
      <c r="B35" s="21" t="s">
        <v>94</v>
      </c>
      <c r="C35" s="21">
        <v>57.874946000000001</v>
      </c>
      <c r="D35" s="21">
        <v>620290.6</v>
      </c>
      <c r="E35" s="21">
        <v>6082307.7999999998</v>
      </c>
      <c r="F35" s="21">
        <v>794.8</v>
      </c>
      <c r="G35" s="21">
        <v>10</v>
      </c>
      <c r="H35" s="21">
        <v>0</v>
      </c>
      <c r="I35" s="21">
        <v>38.15</v>
      </c>
      <c r="J35" s="21">
        <v>0</v>
      </c>
      <c r="K35" s="21">
        <v>100</v>
      </c>
      <c r="L35" s="21">
        <v>2.8</v>
      </c>
      <c r="M35" s="21">
        <v>100</v>
      </c>
      <c r="N35" s="21">
        <v>0</v>
      </c>
      <c r="O35" s="35">
        <v>6</v>
      </c>
      <c r="P35" s="21">
        <v>90</v>
      </c>
      <c r="Q35" s="4">
        <v>781.16</v>
      </c>
      <c r="R35" s="4">
        <v>30.899999619999999</v>
      </c>
      <c r="S35" s="4">
        <f t="shared" si="26"/>
        <v>106.82</v>
      </c>
      <c r="T35" s="5">
        <f t="shared" si="0"/>
        <v>2.4803708090655769</v>
      </c>
      <c r="U35" s="8">
        <f t="shared" si="1"/>
        <v>450.36260381976365</v>
      </c>
      <c r="V35" s="8">
        <f t="shared" si="2"/>
        <v>351805.25159984658</v>
      </c>
      <c r="W35" s="3">
        <f t="shared" si="3"/>
        <v>3518052515.998466</v>
      </c>
      <c r="X35" s="5">
        <f t="shared" si="4"/>
        <v>3.5180525159984661</v>
      </c>
      <c r="Y35" s="3">
        <f t="shared" si="27"/>
        <v>0.5</v>
      </c>
      <c r="Z35" s="3">
        <f t="shared" si="5"/>
        <v>11.74</v>
      </c>
      <c r="AA35" s="3">
        <f t="shared" si="6"/>
        <v>0.33600000000000002</v>
      </c>
      <c r="AB35" s="5">
        <f t="shared" si="30"/>
        <v>1.0233355797042001</v>
      </c>
      <c r="AC35" s="8">
        <f t="shared" si="7"/>
        <v>0</v>
      </c>
      <c r="AD35" s="8">
        <f t="shared" si="8"/>
        <v>0</v>
      </c>
      <c r="AE35" s="8">
        <f t="shared" si="9"/>
        <v>15.228208031312501</v>
      </c>
      <c r="AF35" s="8">
        <f t="shared" si="10"/>
        <v>45.684624093937501</v>
      </c>
      <c r="AG35" s="3">
        <f t="shared" si="11"/>
        <v>0</v>
      </c>
      <c r="AH35" s="3">
        <f t="shared" si="12"/>
        <v>0</v>
      </c>
      <c r="AI35" s="9">
        <f t="shared" si="13"/>
        <v>6</v>
      </c>
      <c r="AJ35" s="3">
        <f t="shared" si="28"/>
        <v>106.82</v>
      </c>
      <c r="AK35" s="3">
        <f t="shared" si="14"/>
        <v>669.67405634539386</v>
      </c>
      <c r="AL35" s="3">
        <f t="shared" si="15"/>
        <v>0</v>
      </c>
      <c r="AM35" s="3">
        <f t="shared" si="16"/>
        <v>1.0681999999999999E-2</v>
      </c>
      <c r="AN35" s="9">
        <f t="shared" si="17"/>
        <v>3.7579836975895613E-2</v>
      </c>
      <c r="AO35" s="3">
        <f t="shared" si="18"/>
        <v>37579.836975895611</v>
      </c>
      <c r="AP35" s="8">
        <f t="shared" si="19"/>
        <v>36.722887116617443</v>
      </c>
      <c r="AQ35" s="10">
        <f t="shared" si="20"/>
        <v>126.68364279630835</v>
      </c>
      <c r="AR35" s="10">
        <f t="shared" si="21"/>
        <v>380.050928388925</v>
      </c>
      <c r="AS35" s="8">
        <f t="shared" si="29"/>
        <v>5.0892748776088839</v>
      </c>
      <c r="AT35" s="8">
        <f t="shared" si="22"/>
        <v>9.7744896125909073E-2</v>
      </c>
      <c r="AU35" s="8">
        <f t="shared" si="23"/>
        <v>0</v>
      </c>
      <c r="AV35" s="38">
        <f t="shared" si="24"/>
        <v>42.646737968687503</v>
      </c>
      <c r="AW35" s="38">
        <f t="shared" si="25"/>
        <v>12.190321906062501</v>
      </c>
    </row>
    <row r="36" spans="1:49" x14ac:dyDescent="0.4">
      <c r="A36" s="21">
        <v>104</v>
      </c>
      <c r="B36" s="21" t="s">
        <v>94</v>
      </c>
      <c r="C36" s="21">
        <v>58.627426</v>
      </c>
      <c r="D36" s="21">
        <v>620281.69999999995</v>
      </c>
      <c r="E36" s="21">
        <v>6082270.7000000002</v>
      </c>
      <c r="F36" s="21">
        <v>800.9</v>
      </c>
      <c r="G36" s="21">
        <v>8</v>
      </c>
      <c r="H36" s="21">
        <v>0</v>
      </c>
      <c r="I36" s="21">
        <v>22.14</v>
      </c>
      <c r="J36" s="21">
        <v>0</v>
      </c>
      <c r="K36" s="21">
        <v>100</v>
      </c>
      <c r="L36" s="21">
        <v>3.8</v>
      </c>
      <c r="M36" s="21">
        <v>100</v>
      </c>
      <c r="N36" s="21">
        <v>0</v>
      </c>
      <c r="O36" s="35">
        <v>7</v>
      </c>
      <c r="P36" s="21">
        <v>90</v>
      </c>
      <c r="Q36" s="4">
        <v>781.16</v>
      </c>
      <c r="R36" s="4">
        <v>30.899999619999999</v>
      </c>
      <c r="S36" s="4">
        <f t="shared" si="26"/>
        <v>84.132000000000005</v>
      </c>
      <c r="T36" s="5">
        <f t="shared" si="0"/>
        <v>2.2523775068692409</v>
      </c>
      <c r="U36" s="8">
        <f t="shared" si="1"/>
        <v>431.053851056756</v>
      </c>
      <c r="V36" s="8">
        <f t="shared" si="2"/>
        <v>336722.02629149548</v>
      </c>
      <c r="W36" s="3">
        <f t="shared" si="3"/>
        <v>3367220262.9149547</v>
      </c>
      <c r="X36" s="5">
        <f t="shared" si="4"/>
        <v>3.3672202629149548</v>
      </c>
      <c r="Y36" s="3">
        <f t="shared" si="27"/>
        <v>0.5</v>
      </c>
      <c r="Z36" s="3">
        <f t="shared" si="5"/>
        <v>11.74</v>
      </c>
      <c r="AA36" s="3">
        <f t="shared" si="6"/>
        <v>0.33600000000000002</v>
      </c>
      <c r="AB36" s="5">
        <f t="shared" si="30"/>
        <v>0.80598454401492003</v>
      </c>
      <c r="AC36" s="8">
        <f t="shared" si="7"/>
        <v>0</v>
      </c>
      <c r="AD36" s="8">
        <f t="shared" si="8"/>
        <v>0</v>
      </c>
      <c r="AE36" s="8">
        <f t="shared" si="9"/>
        <v>11.993817619269642</v>
      </c>
      <c r="AF36" s="8">
        <f t="shared" si="10"/>
        <v>35.981452857808925</v>
      </c>
      <c r="AG36" s="3">
        <f t="shared" si="11"/>
        <v>0</v>
      </c>
      <c r="AH36" s="3">
        <f t="shared" si="12"/>
        <v>0</v>
      </c>
      <c r="AI36" s="9">
        <f t="shared" si="13"/>
        <v>7</v>
      </c>
      <c r="AJ36" s="3">
        <f t="shared" si="28"/>
        <v>84.132000000000005</v>
      </c>
      <c r="AK36" s="3">
        <f t="shared" si="14"/>
        <v>574.38563336875552</v>
      </c>
      <c r="AL36" s="3">
        <f t="shared" si="15"/>
        <v>0</v>
      </c>
      <c r="AM36" s="3">
        <f t="shared" si="16"/>
        <v>8.4132000000000009E-3</v>
      </c>
      <c r="AN36" s="9">
        <f t="shared" si="17"/>
        <v>2.8329097515956102E-2</v>
      </c>
      <c r="AO36" s="3">
        <f t="shared" si="18"/>
        <v>28329.097515956099</v>
      </c>
      <c r="AP36" s="8">
        <f t="shared" si="19"/>
        <v>35.14843767950925</v>
      </c>
      <c r="AQ36" s="10">
        <f t="shared" si="20"/>
        <v>162.93790645887248</v>
      </c>
      <c r="AR36" s="10">
        <f t="shared" si="21"/>
        <v>488.81371937661743</v>
      </c>
      <c r="AS36" s="8">
        <f t="shared" si="29"/>
        <v>2.7669588507701022</v>
      </c>
      <c r="AT36" s="8">
        <f t="shared" si="22"/>
        <v>1.7147312001744415E-2</v>
      </c>
      <c r="AU36" s="8">
        <f t="shared" si="23"/>
        <v>0</v>
      </c>
      <c r="AV36" s="38">
        <f t="shared" si="24"/>
        <v>46.633608380730358</v>
      </c>
      <c r="AW36" s="38">
        <f t="shared" si="25"/>
        <v>22.645973142191075</v>
      </c>
    </row>
    <row r="37" spans="1:49" x14ac:dyDescent="0.4">
      <c r="A37" s="21">
        <v>84</v>
      </c>
      <c r="B37" s="21" t="s">
        <v>94</v>
      </c>
      <c r="C37" s="21">
        <v>38.736944999999999</v>
      </c>
      <c r="D37" s="21">
        <v>619946.19999999995</v>
      </c>
      <c r="E37" s="21">
        <v>6081814.2999999998</v>
      </c>
      <c r="F37" s="21">
        <v>802.8</v>
      </c>
      <c r="G37" s="21">
        <v>14</v>
      </c>
      <c r="H37" s="21">
        <v>0</v>
      </c>
      <c r="I37" s="21">
        <v>17.850000000000001</v>
      </c>
      <c r="J37" s="21">
        <v>0</v>
      </c>
      <c r="K37" s="21">
        <v>100</v>
      </c>
      <c r="L37" s="21">
        <v>3.8</v>
      </c>
      <c r="M37" s="21">
        <v>100</v>
      </c>
      <c r="N37" s="21">
        <v>0</v>
      </c>
      <c r="O37" s="35">
        <v>14</v>
      </c>
      <c r="P37" s="21">
        <v>90</v>
      </c>
      <c r="Q37" s="4">
        <v>781.16</v>
      </c>
      <c r="R37" s="4">
        <v>30.899999619999999</v>
      </c>
      <c r="S37" s="4">
        <f t="shared" si="26"/>
        <v>67.83</v>
      </c>
      <c r="T37" s="5">
        <f t="shared" si="0"/>
        <v>2.9294544238463396</v>
      </c>
      <c r="U37" s="8">
        <f t="shared" si="1"/>
        <v>488.39549515554648</v>
      </c>
      <c r="V37" s="8">
        <f t="shared" si="2"/>
        <v>381515.02499570668</v>
      </c>
      <c r="W37" s="3">
        <f t="shared" si="3"/>
        <v>3815150249.957067</v>
      </c>
      <c r="X37" s="5">
        <f t="shared" si="4"/>
        <v>3.8151502499570671</v>
      </c>
      <c r="Y37" s="3">
        <f t="shared" si="27"/>
        <v>0.5</v>
      </c>
      <c r="Z37" s="3">
        <f t="shared" si="5"/>
        <v>11.74</v>
      </c>
      <c r="AA37" s="3">
        <f t="shared" si="6"/>
        <v>0.33600000000000002</v>
      </c>
      <c r="AB37" s="5">
        <f t="shared" si="30"/>
        <v>0.64981138711230002</v>
      </c>
      <c r="AC37" s="8">
        <f t="shared" si="7"/>
        <v>0</v>
      </c>
      <c r="AD37" s="8">
        <f t="shared" si="8"/>
        <v>0</v>
      </c>
      <c r="AE37" s="8">
        <f t="shared" si="9"/>
        <v>9.6698123082187504</v>
      </c>
      <c r="AF37" s="8">
        <f t="shared" si="10"/>
        <v>29.009436924656249</v>
      </c>
      <c r="AG37" s="3">
        <f t="shared" si="11"/>
        <v>0</v>
      </c>
      <c r="AH37" s="3">
        <f t="shared" si="12"/>
        <v>0</v>
      </c>
      <c r="AI37" s="9">
        <f t="shared" si="13"/>
        <v>14</v>
      </c>
      <c r="AJ37" s="3">
        <f t="shared" si="28"/>
        <v>67.83</v>
      </c>
      <c r="AK37" s="3">
        <f t="shared" si="14"/>
        <v>289.34958461071244</v>
      </c>
      <c r="AL37" s="3">
        <f t="shared" si="15"/>
        <v>0</v>
      </c>
      <c r="AM37" s="3">
        <f t="shared" si="16"/>
        <v>6.783E-3</v>
      </c>
      <c r="AN37" s="9">
        <f t="shared" si="17"/>
        <v>2.5878164145458786E-2</v>
      </c>
      <c r="AO37" s="3">
        <f t="shared" si="18"/>
        <v>25878.164145458788</v>
      </c>
      <c r="AP37" s="8">
        <f t="shared" si="19"/>
        <v>39.824116133850602</v>
      </c>
      <c r="AQ37" s="10">
        <f t="shared" si="20"/>
        <v>133.53221953465757</v>
      </c>
      <c r="AR37" s="10">
        <f t="shared" si="21"/>
        <v>400.59665860397268</v>
      </c>
      <c r="AS37" s="8">
        <f t="shared" si="29"/>
        <v>4.9598229129131903</v>
      </c>
      <c r="AT37" s="8">
        <f t="shared" si="22"/>
        <v>7.6931857811752741E-2</v>
      </c>
      <c r="AU37" s="8">
        <f t="shared" si="23"/>
        <v>0</v>
      </c>
      <c r="AV37" s="38">
        <f t="shared" si="24"/>
        <v>29.067132691781246</v>
      </c>
      <c r="AW37" s="38">
        <f t="shared" si="25"/>
        <v>9.7275080753437493</v>
      </c>
    </row>
    <row r="38" spans="1:49" x14ac:dyDescent="0.4">
      <c r="A38" s="21">
        <v>79</v>
      </c>
      <c r="B38" s="21" t="s">
        <v>94</v>
      </c>
      <c r="C38" s="21">
        <v>81.495073000000005</v>
      </c>
      <c r="D38" s="21">
        <v>619854.4</v>
      </c>
      <c r="E38" s="21">
        <v>6081700.2999999998</v>
      </c>
      <c r="F38" s="21">
        <v>803.6</v>
      </c>
      <c r="G38" s="21">
        <v>23</v>
      </c>
      <c r="H38" s="21">
        <v>0</v>
      </c>
      <c r="I38" s="21">
        <v>7.34</v>
      </c>
      <c r="J38" s="21">
        <v>0</v>
      </c>
      <c r="K38" s="21">
        <v>100</v>
      </c>
      <c r="L38" s="21">
        <v>4.5999999999999996</v>
      </c>
      <c r="M38" s="21">
        <v>100</v>
      </c>
      <c r="N38" s="21">
        <v>0</v>
      </c>
      <c r="O38" s="35">
        <v>30</v>
      </c>
      <c r="P38" s="21">
        <v>90</v>
      </c>
      <c r="Q38" s="4">
        <v>781.16</v>
      </c>
      <c r="R38" s="4">
        <v>30.899999619999999</v>
      </c>
      <c r="S38" s="4">
        <f t="shared" si="26"/>
        <v>33.763999999999996</v>
      </c>
      <c r="T38" s="5">
        <f t="shared" si="0"/>
        <v>3.787561691319218</v>
      </c>
      <c r="U38" s="8">
        <f t="shared" si="1"/>
        <v>561.0685996378246</v>
      </c>
      <c r="V38" s="8">
        <f t="shared" si="2"/>
        <v>438284.34729308303</v>
      </c>
      <c r="W38" s="3">
        <f t="shared" si="3"/>
        <v>4382843472.93083</v>
      </c>
      <c r="X38" s="5">
        <f t="shared" si="4"/>
        <v>4.3828434729308299</v>
      </c>
      <c r="Y38" s="3">
        <f t="shared" si="27"/>
        <v>0.5</v>
      </c>
      <c r="Z38" s="3">
        <f t="shared" si="5"/>
        <v>11.74</v>
      </c>
      <c r="AA38" s="3">
        <f t="shared" si="6"/>
        <v>0.33600000000000002</v>
      </c>
      <c r="AB38" s="5">
        <f t="shared" si="30"/>
        <v>0.32345911358483997</v>
      </c>
      <c r="AC38" s="8">
        <f t="shared" si="7"/>
        <v>0</v>
      </c>
      <c r="AD38" s="8">
        <f t="shared" si="8"/>
        <v>0</v>
      </c>
      <c r="AE38" s="8">
        <f t="shared" si="9"/>
        <v>4.8133796664410706</v>
      </c>
      <c r="AF38" s="8">
        <f t="shared" si="10"/>
        <v>14.440138999323212</v>
      </c>
      <c r="AG38" s="3">
        <f t="shared" si="11"/>
        <v>0</v>
      </c>
      <c r="AH38" s="3">
        <f t="shared" si="12"/>
        <v>0</v>
      </c>
      <c r="AI38" s="9">
        <f t="shared" si="13"/>
        <v>30</v>
      </c>
      <c r="AJ38" s="3">
        <f t="shared" si="28"/>
        <v>33.763999999999996</v>
      </c>
      <c r="AK38" s="3">
        <f t="shared" si="14"/>
        <v>140.00000000000003</v>
      </c>
      <c r="AL38" s="3">
        <f t="shared" si="15"/>
        <v>0</v>
      </c>
      <c r="AM38" s="3">
        <f t="shared" si="16"/>
        <v>3.3763999999999995E-3</v>
      </c>
      <c r="AN38" s="9">
        <f t="shared" si="17"/>
        <v>1.4798232702003651E-2</v>
      </c>
      <c r="AO38" s="3">
        <f t="shared" si="18"/>
        <v>14798.23270200365</v>
      </c>
      <c r="AP38" s="8">
        <f t="shared" si="19"/>
        <v>45.749932775111702</v>
      </c>
      <c r="AQ38" s="10">
        <f t="shared" si="20"/>
        <v>564.36487906258765</v>
      </c>
      <c r="AR38" s="10">
        <f t="shared" si="21"/>
        <v>1693.0946371877631</v>
      </c>
      <c r="AS38" s="8">
        <f t="shared" si="29"/>
        <v>6.867866383635372E-3</v>
      </c>
      <c r="AT38" s="8">
        <f t="shared" si="22"/>
        <v>1.5476921906331253E-10</v>
      </c>
      <c r="AU38" s="8">
        <f t="shared" si="23"/>
        <v>0</v>
      </c>
      <c r="AV38" s="38">
        <f t="shared" si="24"/>
        <v>76.68169333355894</v>
      </c>
      <c r="AW38" s="38">
        <f t="shared" si="25"/>
        <v>67.054934000676795</v>
      </c>
    </row>
    <row r="39" spans="1:49" x14ac:dyDescent="0.4">
      <c r="A39" s="21">
        <v>88</v>
      </c>
      <c r="B39" s="21" t="s">
        <v>94</v>
      </c>
      <c r="C39" s="21">
        <v>10.406696999999999</v>
      </c>
      <c r="D39" s="21">
        <v>619994.5</v>
      </c>
      <c r="E39" s="21">
        <v>6081893.7000000002</v>
      </c>
      <c r="F39" s="21">
        <v>803.8</v>
      </c>
      <c r="G39" s="21">
        <v>6</v>
      </c>
      <c r="H39" s="21">
        <v>0</v>
      </c>
      <c r="I39" s="21">
        <v>44.47</v>
      </c>
      <c r="J39" s="21">
        <v>0</v>
      </c>
      <c r="K39" s="21">
        <v>100</v>
      </c>
      <c r="L39" s="21">
        <v>3.8</v>
      </c>
      <c r="M39" s="21">
        <v>100</v>
      </c>
      <c r="N39" s="21">
        <v>0</v>
      </c>
      <c r="O39" s="35">
        <v>5</v>
      </c>
      <c r="P39" s="21">
        <v>90</v>
      </c>
      <c r="Q39" s="4">
        <v>781.16</v>
      </c>
      <c r="R39" s="4">
        <v>30.899999619999999</v>
      </c>
      <c r="S39" s="4">
        <f t="shared" si="26"/>
        <v>168.98599999999999</v>
      </c>
      <c r="T39" s="5">
        <f t="shared" si="0"/>
        <v>2.0274507831327977</v>
      </c>
      <c r="U39" s="8">
        <f t="shared" si="1"/>
        <v>412.00480682351662</v>
      </c>
      <c r="V39" s="8">
        <f t="shared" si="2"/>
        <v>321841.67489825824</v>
      </c>
      <c r="W39" s="3">
        <f t="shared" si="3"/>
        <v>3218416748.9825826</v>
      </c>
      <c r="X39" s="5">
        <f t="shared" si="4"/>
        <v>3.2184167489825826</v>
      </c>
      <c r="Y39" s="3">
        <f t="shared" si="27"/>
        <v>0.5</v>
      </c>
      <c r="Z39" s="3">
        <f t="shared" si="5"/>
        <v>11.74</v>
      </c>
      <c r="AA39" s="3">
        <f t="shared" si="6"/>
        <v>0.33600000000000002</v>
      </c>
      <c r="AB39" s="5">
        <f t="shared" si="30"/>
        <v>1.61888584789266</v>
      </c>
      <c r="AC39" s="8">
        <f t="shared" si="7"/>
        <v>0.91955580949265991</v>
      </c>
      <c r="AD39" s="8">
        <f t="shared" si="8"/>
        <v>1.3857758350926601</v>
      </c>
      <c r="AE39" s="8">
        <f t="shared" si="9"/>
        <v>24.090563212688394</v>
      </c>
      <c r="AF39" s="8">
        <f t="shared" si="10"/>
        <v>72.271689638065183</v>
      </c>
      <c r="AG39" s="3">
        <f t="shared" si="11"/>
        <v>0</v>
      </c>
      <c r="AH39" s="3">
        <f t="shared" si="12"/>
        <v>0</v>
      </c>
      <c r="AI39" s="9">
        <f t="shared" si="13"/>
        <v>5</v>
      </c>
      <c r="AJ39" s="3">
        <f t="shared" si="28"/>
        <v>168.98599999999999</v>
      </c>
      <c r="AK39" s="3">
        <f t="shared" si="14"/>
        <v>803.15992719688995</v>
      </c>
      <c r="AL39" s="3">
        <f t="shared" si="15"/>
        <v>0.91955580949265991</v>
      </c>
      <c r="AM39" s="3">
        <f t="shared" si="16"/>
        <v>1.68986E-2</v>
      </c>
      <c r="AN39" s="9">
        <f t="shared" si="17"/>
        <v>5.4386737274357069E-2</v>
      </c>
      <c r="AO39" s="3">
        <f t="shared" si="18"/>
        <v>54386.737274357067</v>
      </c>
      <c r="AP39" s="8">
        <f t="shared" si="19"/>
        <v>33.595165060682632</v>
      </c>
      <c r="AQ39" s="10">
        <f t="shared" si="20"/>
        <v>14.399410131569468</v>
      </c>
      <c r="AR39" s="10">
        <f t="shared" si="21"/>
        <v>43.198230394708403</v>
      </c>
      <c r="AS39" s="8">
        <f t="shared" si="29"/>
        <v>26.836190317786151</v>
      </c>
      <c r="AT39" s="8">
        <f t="shared" si="22"/>
        <v>17.124150300941764</v>
      </c>
      <c r="AU39" s="8">
        <f t="shared" si="23"/>
        <v>15.74661189185648</v>
      </c>
      <c r="AV39" s="38">
        <f t="shared" si="24"/>
        <v>0</v>
      </c>
      <c r="AW39" s="38">
        <f t="shared" si="25"/>
        <v>0</v>
      </c>
    </row>
    <row r="40" spans="1:49" x14ac:dyDescent="0.4">
      <c r="A40" s="21">
        <v>103</v>
      </c>
      <c r="B40" s="21" t="s">
        <v>94</v>
      </c>
      <c r="C40" s="21">
        <v>77.504437999999993</v>
      </c>
      <c r="D40" s="21">
        <v>620275</v>
      </c>
      <c r="E40" s="21">
        <v>6082249.5999999996</v>
      </c>
      <c r="F40" s="21">
        <v>804.2</v>
      </c>
      <c r="G40" s="21">
        <v>14</v>
      </c>
      <c r="H40" s="21">
        <v>0</v>
      </c>
      <c r="I40" s="21">
        <v>22.57</v>
      </c>
      <c r="J40" s="21">
        <v>0</v>
      </c>
      <c r="K40" s="21">
        <v>100</v>
      </c>
      <c r="L40" s="21">
        <v>4.4000000000000004</v>
      </c>
      <c r="M40" s="21">
        <v>100</v>
      </c>
      <c r="N40" s="21">
        <v>0</v>
      </c>
      <c r="O40" s="35">
        <v>7</v>
      </c>
      <c r="P40" s="21">
        <v>90</v>
      </c>
      <c r="Q40" s="4">
        <v>781.16</v>
      </c>
      <c r="R40" s="4">
        <v>30.899999619999999</v>
      </c>
      <c r="S40" s="4">
        <f t="shared" si="26"/>
        <v>99.308000000000007</v>
      </c>
      <c r="T40" s="5">
        <f t="shared" si="0"/>
        <v>2.9294544238463396</v>
      </c>
      <c r="U40" s="8">
        <f t="shared" si="1"/>
        <v>488.39549515554648</v>
      </c>
      <c r="V40" s="8">
        <f t="shared" si="2"/>
        <v>381515.02499570668</v>
      </c>
      <c r="W40" s="3">
        <f t="shared" si="3"/>
        <v>3815150249.957067</v>
      </c>
      <c r="X40" s="5">
        <f t="shared" si="4"/>
        <v>3.8151502499570671</v>
      </c>
      <c r="Y40" s="3">
        <f t="shared" si="27"/>
        <v>0.5</v>
      </c>
      <c r="Z40" s="3">
        <f t="shared" si="5"/>
        <v>11.74</v>
      </c>
      <c r="AA40" s="3">
        <f t="shared" si="6"/>
        <v>0.33600000000000002</v>
      </c>
      <c r="AB40" s="5">
        <f t="shared" si="30"/>
        <v>0.95137062113148008</v>
      </c>
      <c r="AC40" s="8">
        <f t="shared" si="7"/>
        <v>0</v>
      </c>
      <c r="AD40" s="8">
        <f t="shared" si="8"/>
        <v>0</v>
      </c>
      <c r="AE40" s="8">
        <f t="shared" si="9"/>
        <v>14.157300909694644</v>
      </c>
      <c r="AF40" s="8">
        <f t="shared" si="10"/>
        <v>42.471902729083936</v>
      </c>
      <c r="AG40" s="3">
        <f t="shared" si="11"/>
        <v>0</v>
      </c>
      <c r="AH40" s="3">
        <f t="shared" si="12"/>
        <v>0</v>
      </c>
      <c r="AI40" s="9">
        <f t="shared" si="13"/>
        <v>7</v>
      </c>
      <c r="AJ40" s="3">
        <f t="shared" si="28"/>
        <v>99.308000000000007</v>
      </c>
      <c r="AK40" s="3">
        <f t="shared" si="14"/>
        <v>574.38563336875552</v>
      </c>
      <c r="AL40" s="3">
        <f t="shared" si="15"/>
        <v>0</v>
      </c>
      <c r="AM40" s="3">
        <f t="shared" si="16"/>
        <v>9.9308E-3</v>
      </c>
      <c r="AN40" s="9">
        <f t="shared" si="17"/>
        <v>3.7887494102273642E-2</v>
      </c>
      <c r="AO40" s="3">
        <f t="shared" si="18"/>
        <v>37887.494102273646</v>
      </c>
      <c r="AP40" s="8">
        <f t="shared" si="19"/>
        <v>39.824116133850602</v>
      </c>
      <c r="AQ40" s="10">
        <f t="shared" si="20"/>
        <v>182.48402595565011</v>
      </c>
      <c r="AR40" s="10">
        <f t="shared" si="21"/>
        <v>547.45207786695028</v>
      </c>
      <c r="AS40" s="8">
        <f t="shared" si="29"/>
        <v>2.3110959676496248</v>
      </c>
      <c r="AT40" s="8">
        <f t="shared" si="22"/>
        <v>7.7832619652366125E-3</v>
      </c>
      <c r="AU40" s="8">
        <f t="shared" si="23"/>
        <v>0</v>
      </c>
      <c r="AV40" s="38">
        <f t="shared" si="24"/>
        <v>63.347137090305353</v>
      </c>
      <c r="AW40" s="38">
        <f t="shared" si="25"/>
        <v>35.032535270916057</v>
      </c>
    </row>
    <row r="41" spans="1:49" x14ac:dyDescent="0.4">
      <c r="A41" s="21">
        <v>80</v>
      </c>
      <c r="B41" s="21" t="s">
        <v>94</v>
      </c>
      <c r="C41" s="21">
        <v>106.590699</v>
      </c>
      <c r="D41" s="21">
        <v>619857.4</v>
      </c>
      <c r="E41" s="21">
        <v>6081707</v>
      </c>
      <c r="F41" s="21">
        <v>806.2</v>
      </c>
      <c r="G41" s="21">
        <v>16</v>
      </c>
      <c r="H41" s="21">
        <v>0</v>
      </c>
      <c r="I41" s="21">
        <v>38.5</v>
      </c>
      <c r="J41" s="21">
        <v>0</v>
      </c>
      <c r="K41" s="21">
        <v>100</v>
      </c>
      <c r="L41" s="21">
        <v>3.8</v>
      </c>
      <c r="M41" s="21">
        <v>100</v>
      </c>
      <c r="N41" s="21">
        <v>0</v>
      </c>
      <c r="O41" s="35">
        <v>11</v>
      </c>
      <c r="P41" s="21">
        <v>90</v>
      </c>
      <c r="Q41" s="4">
        <v>781.16</v>
      </c>
      <c r="R41" s="4">
        <v>30.899999619999999</v>
      </c>
      <c r="S41" s="4">
        <f t="shared" si="26"/>
        <v>146.29999999999998</v>
      </c>
      <c r="T41" s="5">
        <f t="shared" si="0"/>
        <v>3.1430387596364455</v>
      </c>
      <c r="U41" s="8">
        <f t="shared" si="1"/>
        <v>506.48395255361049</v>
      </c>
      <c r="V41" s="8">
        <f t="shared" si="2"/>
        <v>395645.00437677838</v>
      </c>
      <c r="W41" s="3">
        <f t="shared" si="3"/>
        <v>3956450043.7677836</v>
      </c>
      <c r="X41" s="5">
        <f t="shared" si="4"/>
        <v>3.9564500437677834</v>
      </c>
      <c r="Y41" s="3">
        <f t="shared" si="27"/>
        <v>0.5</v>
      </c>
      <c r="Z41" s="3">
        <f t="shared" si="5"/>
        <v>11.74</v>
      </c>
      <c r="AA41" s="3">
        <f t="shared" si="6"/>
        <v>0.33600000000000002</v>
      </c>
      <c r="AB41" s="5">
        <f t="shared" si="30"/>
        <v>1.4015539722029999</v>
      </c>
      <c r="AC41" s="8">
        <f t="shared" si="7"/>
        <v>0</v>
      </c>
      <c r="AD41" s="8">
        <f t="shared" si="8"/>
        <v>0</v>
      </c>
      <c r="AE41" s="8">
        <f t="shared" si="9"/>
        <v>20.856457919687497</v>
      </c>
      <c r="AF41" s="8">
        <f t="shared" si="10"/>
        <v>62.569373759062486</v>
      </c>
      <c r="AG41" s="3">
        <f t="shared" si="11"/>
        <v>0</v>
      </c>
      <c r="AH41" s="3">
        <f t="shared" si="12"/>
        <v>0</v>
      </c>
      <c r="AI41" s="9">
        <f t="shared" si="13"/>
        <v>11</v>
      </c>
      <c r="AJ41" s="3">
        <f t="shared" si="28"/>
        <v>146.29999999999998</v>
      </c>
      <c r="AK41" s="3">
        <f t="shared" si="14"/>
        <v>366.85901449174941</v>
      </c>
      <c r="AL41" s="3">
        <f t="shared" si="15"/>
        <v>0</v>
      </c>
      <c r="AM41" s="3">
        <f t="shared" si="16"/>
        <v>1.4629999999999999E-2</v>
      </c>
      <c r="AN41" s="9">
        <f t="shared" si="17"/>
        <v>5.7882864140322669E-2</v>
      </c>
      <c r="AO41" s="3">
        <f t="shared" si="18"/>
        <v>57882.864140322665</v>
      </c>
      <c r="AP41" s="8">
        <f t="shared" si="19"/>
        <v>41.299061818747397</v>
      </c>
      <c r="AQ41" s="10">
        <f t="shared" si="20"/>
        <v>170.35602659290083</v>
      </c>
      <c r="AR41" s="10">
        <f t="shared" si="21"/>
        <v>511.06807977870244</v>
      </c>
      <c r="AS41" s="8">
        <f t="shared" si="29"/>
        <v>2.8958705345587794</v>
      </c>
      <c r="AT41" s="8">
        <f t="shared" si="22"/>
        <v>1.4238264419323002E-2</v>
      </c>
      <c r="AU41" s="8">
        <f t="shared" si="23"/>
        <v>0</v>
      </c>
      <c r="AV41" s="38">
        <f t="shared" si="24"/>
        <v>85.734241080312501</v>
      </c>
      <c r="AW41" s="38">
        <f t="shared" si="25"/>
        <v>44.021325240937514</v>
      </c>
    </row>
    <row r="42" spans="1:49" x14ac:dyDescent="0.4">
      <c r="A42" s="21">
        <v>85</v>
      </c>
      <c r="B42" s="21" t="s">
        <v>94</v>
      </c>
      <c r="C42" s="21">
        <v>47.911650000000002</v>
      </c>
      <c r="D42" s="21">
        <v>619939.9</v>
      </c>
      <c r="E42" s="21">
        <v>6081831</v>
      </c>
      <c r="F42" s="21">
        <v>806.7</v>
      </c>
      <c r="G42" s="21">
        <v>10</v>
      </c>
      <c r="H42" s="21">
        <v>0</v>
      </c>
      <c r="I42" s="21">
        <v>20.93</v>
      </c>
      <c r="J42" s="21">
        <v>0</v>
      </c>
      <c r="K42" s="21">
        <v>100</v>
      </c>
      <c r="L42" s="21">
        <v>4.8</v>
      </c>
      <c r="M42" s="21">
        <v>100</v>
      </c>
      <c r="N42" s="21">
        <v>0</v>
      </c>
      <c r="O42" s="35">
        <v>3</v>
      </c>
      <c r="P42" s="21">
        <v>90</v>
      </c>
      <c r="Q42" s="4">
        <v>781.16</v>
      </c>
      <c r="R42" s="4">
        <v>30.899999619999999</v>
      </c>
      <c r="S42" s="4">
        <f t="shared" si="26"/>
        <v>100.464</v>
      </c>
      <c r="T42" s="5">
        <f t="shared" si="0"/>
        <v>2.4803708090655769</v>
      </c>
      <c r="U42" s="8">
        <f t="shared" si="1"/>
        <v>450.36260381976365</v>
      </c>
      <c r="V42" s="8">
        <f t="shared" si="2"/>
        <v>351805.25159984658</v>
      </c>
      <c r="W42" s="3">
        <f t="shared" si="3"/>
        <v>3518052515.998466</v>
      </c>
      <c r="X42" s="5">
        <f t="shared" si="4"/>
        <v>3.5180525159984661</v>
      </c>
      <c r="Y42" s="3">
        <f t="shared" si="27"/>
        <v>0.5</v>
      </c>
      <c r="Z42" s="3">
        <f t="shared" si="5"/>
        <v>11.74</v>
      </c>
      <c r="AA42" s="3">
        <f t="shared" si="6"/>
        <v>0.33600000000000002</v>
      </c>
      <c r="AB42" s="5">
        <f t="shared" si="30"/>
        <v>0.96244510091183999</v>
      </c>
      <c r="AC42" s="8">
        <f t="shared" si="7"/>
        <v>0</v>
      </c>
      <c r="AD42" s="8">
        <f t="shared" si="8"/>
        <v>0</v>
      </c>
      <c r="AE42" s="8">
        <f t="shared" si="9"/>
        <v>14.322099715949998</v>
      </c>
      <c r="AF42" s="8">
        <f t="shared" si="10"/>
        <v>42.966299147849995</v>
      </c>
      <c r="AG42" s="3">
        <f t="shared" si="11"/>
        <v>0</v>
      </c>
      <c r="AH42" s="3">
        <f t="shared" si="12"/>
        <v>0</v>
      </c>
      <c r="AI42" s="9">
        <f t="shared" si="13"/>
        <v>3</v>
      </c>
      <c r="AJ42" s="3">
        <f t="shared" si="28"/>
        <v>100.464</v>
      </c>
      <c r="AK42" s="3">
        <f t="shared" si="14"/>
        <v>1337.5125826508179</v>
      </c>
      <c r="AL42" s="3">
        <f t="shared" si="15"/>
        <v>0</v>
      </c>
      <c r="AM42" s="3">
        <f t="shared" si="16"/>
        <v>1.00464E-2</v>
      </c>
      <c r="AN42" s="9">
        <f t="shared" si="17"/>
        <v>3.5343762796726991E-2</v>
      </c>
      <c r="AO42" s="3">
        <f t="shared" si="18"/>
        <v>35343.762796726995</v>
      </c>
      <c r="AP42" s="8">
        <f t="shared" si="19"/>
        <v>36.722887116617457</v>
      </c>
      <c r="AQ42" s="10">
        <f t="shared" si="20"/>
        <v>111.50983666322463</v>
      </c>
      <c r="AR42" s="10">
        <f t="shared" si="21"/>
        <v>334.5295099896739</v>
      </c>
      <c r="AS42" s="8">
        <f t="shared" si="29"/>
        <v>6.448494778478155</v>
      </c>
      <c r="AT42" s="8">
        <f t="shared" si="22"/>
        <v>0.19883893218403911</v>
      </c>
      <c r="AU42" s="8">
        <f t="shared" si="23"/>
        <v>0</v>
      </c>
      <c r="AV42" s="38">
        <f t="shared" si="24"/>
        <v>33.589550284050006</v>
      </c>
      <c r="AW42" s="38">
        <f t="shared" si="25"/>
        <v>4.9453508521500069</v>
      </c>
    </row>
    <row r="43" spans="1:49" x14ac:dyDescent="0.4">
      <c r="A43" s="21">
        <v>102</v>
      </c>
      <c r="B43" s="21" t="s">
        <v>94</v>
      </c>
      <c r="C43" s="21">
        <v>22.501885000000001</v>
      </c>
      <c r="D43" s="21">
        <v>620263.80000000005</v>
      </c>
      <c r="E43" s="21">
        <v>6082230</v>
      </c>
      <c r="F43" s="21">
        <v>806.9</v>
      </c>
      <c r="G43" s="21">
        <v>8</v>
      </c>
      <c r="H43" s="21">
        <v>0</v>
      </c>
      <c r="I43" s="21">
        <v>63.7</v>
      </c>
      <c r="J43" s="21">
        <v>0</v>
      </c>
      <c r="K43" s="21">
        <v>100</v>
      </c>
      <c r="L43" s="21">
        <v>4</v>
      </c>
      <c r="M43" s="21">
        <v>100</v>
      </c>
      <c r="N43" s="21">
        <v>0</v>
      </c>
      <c r="O43" s="35">
        <v>7</v>
      </c>
      <c r="P43" s="21">
        <v>90</v>
      </c>
      <c r="Q43" s="4">
        <v>781.16</v>
      </c>
      <c r="R43" s="4">
        <v>30.899999619999999</v>
      </c>
      <c r="S43" s="4">
        <f t="shared" si="26"/>
        <v>254.8</v>
      </c>
      <c r="T43" s="5">
        <f t="shared" si="0"/>
        <v>2.2523775068692409</v>
      </c>
      <c r="U43" s="8">
        <f t="shared" si="1"/>
        <v>431.053851056756</v>
      </c>
      <c r="V43" s="8">
        <f t="shared" si="2"/>
        <v>336722.02629149548</v>
      </c>
      <c r="W43" s="3">
        <f t="shared" si="3"/>
        <v>3367220262.9149547</v>
      </c>
      <c r="X43" s="5">
        <f t="shared" si="4"/>
        <v>3.3672202629149548</v>
      </c>
      <c r="Y43" s="3">
        <f t="shared" si="27"/>
        <v>0.5</v>
      </c>
      <c r="Z43" s="3">
        <f t="shared" si="5"/>
        <v>11.74</v>
      </c>
      <c r="AA43" s="3">
        <f t="shared" si="6"/>
        <v>0.33600000000000002</v>
      </c>
      <c r="AB43" s="5">
        <f t="shared" si="30"/>
        <v>2.4409839515880005</v>
      </c>
      <c r="AC43" s="8">
        <f t="shared" si="7"/>
        <v>0.92885727958800035</v>
      </c>
      <c r="AD43" s="8">
        <f t="shared" si="8"/>
        <v>1.9369417275880005</v>
      </c>
      <c r="AE43" s="8">
        <f t="shared" si="9"/>
        <v>36.324165946250005</v>
      </c>
      <c r="AF43" s="8">
        <f t="shared" si="10"/>
        <v>108.97249783875002</v>
      </c>
      <c r="AG43" s="3">
        <f t="shared" si="11"/>
        <v>0</v>
      </c>
      <c r="AH43" s="3">
        <f t="shared" si="12"/>
        <v>0</v>
      </c>
      <c r="AI43" s="9">
        <f t="shared" si="13"/>
        <v>7</v>
      </c>
      <c r="AJ43" s="3">
        <f t="shared" si="28"/>
        <v>254.8</v>
      </c>
      <c r="AK43" s="3">
        <f t="shared" si="14"/>
        <v>574.38563336875552</v>
      </c>
      <c r="AL43" s="3">
        <f t="shared" si="15"/>
        <v>0.92885727958800035</v>
      </c>
      <c r="AM43" s="3">
        <f t="shared" si="16"/>
        <v>2.5480000000000003E-2</v>
      </c>
      <c r="AN43" s="9">
        <f t="shared" si="17"/>
        <v>8.5796772299073051E-2</v>
      </c>
      <c r="AO43" s="3">
        <f t="shared" si="18"/>
        <v>85796.772299073054</v>
      </c>
      <c r="AP43" s="8">
        <f t="shared" si="19"/>
        <v>35.14843767950925</v>
      </c>
      <c r="AQ43" s="10">
        <f t="shared" si="20"/>
        <v>20.649141247819003</v>
      </c>
      <c r="AR43" s="10">
        <f t="shared" si="21"/>
        <v>61.947423743457009</v>
      </c>
      <c r="AS43" s="8">
        <f t="shared" si="29"/>
        <v>25.468784538745886</v>
      </c>
      <c r="AT43" s="8">
        <f t="shared" si="22"/>
        <v>13.372500002775242</v>
      </c>
      <c r="AU43" s="8">
        <f t="shared" si="23"/>
        <v>12.421143973868338</v>
      </c>
      <c r="AV43" s="38">
        <f t="shared" si="24"/>
        <v>0</v>
      </c>
      <c r="AW43" s="38">
        <f t="shared" si="25"/>
        <v>0</v>
      </c>
    </row>
    <row r="44" spans="1:49" x14ac:dyDescent="0.4">
      <c r="A44" s="21">
        <v>86</v>
      </c>
      <c r="B44" s="21" t="s">
        <v>94</v>
      </c>
      <c r="C44" s="21">
        <v>4.0108709999999999</v>
      </c>
      <c r="D44" s="21">
        <v>619934.4</v>
      </c>
      <c r="E44" s="21">
        <v>6081851.2000000002</v>
      </c>
      <c r="F44" s="21">
        <v>809.3</v>
      </c>
      <c r="G44" s="21">
        <v>9</v>
      </c>
      <c r="H44" s="21">
        <v>0</v>
      </c>
      <c r="I44" s="21">
        <v>10.54</v>
      </c>
      <c r="J44" s="21">
        <v>0</v>
      </c>
      <c r="K44" s="21">
        <v>100</v>
      </c>
      <c r="L44" s="21">
        <v>3.1</v>
      </c>
      <c r="M44" s="21">
        <v>100</v>
      </c>
      <c r="N44" s="21">
        <v>0</v>
      </c>
      <c r="O44" s="35">
        <v>9</v>
      </c>
      <c r="P44" s="21">
        <v>90</v>
      </c>
      <c r="Q44" s="4">
        <v>781.16</v>
      </c>
      <c r="R44" s="4">
        <v>30.899999619999999</v>
      </c>
      <c r="S44" s="4">
        <f t="shared" si="26"/>
        <v>32.673999999999999</v>
      </c>
      <c r="T44" s="5">
        <f t="shared" si="0"/>
        <v>2.3662432634748507</v>
      </c>
      <c r="U44" s="8">
        <f t="shared" si="1"/>
        <v>440.69714198368507</v>
      </c>
      <c r="V44" s="8">
        <f t="shared" si="2"/>
        <v>344254.9794319754</v>
      </c>
      <c r="W44" s="3">
        <f t="shared" si="3"/>
        <v>3442549794.3197541</v>
      </c>
      <c r="X44" s="5">
        <f t="shared" si="4"/>
        <v>3.4425497943197541</v>
      </c>
      <c r="Y44" s="3">
        <f t="shared" si="27"/>
        <v>0.5</v>
      </c>
      <c r="Z44" s="3">
        <f t="shared" si="5"/>
        <v>11.74</v>
      </c>
      <c r="AA44" s="3">
        <f t="shared" si="6"/>
        <v>0.33600000000000002</v>
      </c>
      <c r="AB44" s="5">
        <f t="shared" si="30"/>
        <v>0.31301691379194002</v>
      </c>
      <c r="AC44" s="8">
        <f t="shared" si="7"/>
        <v>4.3486382591940043E-2</v>
      </c>
      <c r="AD44" s="8">
        <f t="shared" si="8"/>
        <v>0.22317340339194</v>
      </c>
      <c r="AE44" s="8">
        <f t="shared" si="9"/>
        <v>4.6579897885705357</v>
      </c>
      <c r="AF44" s="8">
        <f t="shared" si="10"/>
        <v>13.973969365711607</v>
      </c>
      <c r="AG44" s="3">
        <f t="shared" si="11"/>
        <v>0</v>
      </c>
      <c r="AH44" s="3">
        <f t="shared" si="12"/>
        <v>0</v>
      </c>
      <c r="AI44" s="9">
        <f t="shared" si="13"/>
        <v>9</v>
      </c>
      <c r="AJ44" s="3">
        <f t="shared" si="28"/>
        <v>32.673999999999999</v>
      </c>
      <c r="AK44" s="3">
        <f t="shared" si="14"/>
        <v>447.47172550497629</v>
      </c>
      <c r="AL44" s="3">
        <f t="shared" si="15"/>
        <v>4.3486382591940043E-2</v>
      </c>
      <c r="AM44" s="3">
        <f t="shared" si="16"/>
        <v>3.2674000000000002E-3</v>
      </c>
      <c r="AN44" s="9">
        <f t="shared" si="17"/>
        <v>1.1248187197960365E-2</v>
      </c>
      <c r="AO44" s="3">
        <f t="shared" si="18"/>
        <v>11248.187197960364</v>
      </c>
      <c r="AP44" s="8">
        <f t="shared" si="19"/>
        <v>35.934758482210803</v>
      </c>
      <c r="AQ44" s="10">
        <f t="shared" si="20"/>
        <v>28.702445919493762</v>
      </c>
      <c r="AR44" s="10">
        <f t="shared" si="21"/>
        <v>86.107337758481293</v>
      </c>
      <c r="AS44" s="8">
        <f t="shared" si="29"/>
        <v>22.964438646115951</v>
      </c>
      <c r="AT44" s="8">
        <f t="shared" si="22"/>
        <v>9.3786005885598716</v>
      </c>
      <c r="AU44" s="8">
        <f t="shared" si="23"/>
        <v>0.40784141337110863</v>
      </c>
      <c r="AV44" s="38">
        <f t="shared" si="24"/>
        <v>0</v>
      </c>
      <c r="AW44" s="38">
        <f t="shared" si="25"/>
        <v>0</v>
      </c>
    </row>
    <row r="45" spans="1:49" x14ac:dyDescent="0.4">
      <c r="A45" s="21">
        <v>89</v>
      </c>
      <c r="B45" s="21" t="s">
        <v>94</v>
      </c>
      <c r="C45" s="21">
        <v>29.374561</v>
      </c>
      <c r="D45" s="21">
        <v>619982.80000000005</v>
      </c>
      <c r="E45" s="21">
        <v>6081936.5999999996</v>
      </c>
      <c r="F45" s="21">
        <v>811.3</v>
      </c>
      <c r="G45" s="21">
        <v>13</v>
      </c>
      <c r="H45" s="21">
        <v>0</v>
      </c>
      <c r="I45" s="21">
        <v>33.9</v>
      </c>
      <c r="J45" s="21">
        <v>0</v>
      </c>
      <c r="K45" s="21">
        <v>100</v>
      </c>
      <c r="L45" s="21">
        <v>3.1</v>
      </c>
      <c r="M45" s="21">
        <v>100</v>
      </c>
      <c r="N45" s="21">
        <v>0</v>
      </c>
      <c r="O45" s="35">
        <v>17</v>
      </c>
      <c r="P45" s="21">
        <v>90</v>
      </c>
      <c r="Q45" s="4">
        <v>781.16</v>
      </c>
      <c r="R45" s="4">
        <v>30.899999619999999</v>
      </c>
      <c r="S45" s="4">
        <f t="shared" si="26"/>
        <v>105.09</v>
      </c>
      <c r="T45" s="5">
        <f t="shared" si="0"/>
        <v>2.8192668236646963</v>
      </c>
      <c r="U45" s="8">
        <f t="shared" si="1"/>
        <v>479.0637072961631</v>
      </c>
      <c r="V45" s="8">
        <f t="shared" si="2"/>
        <v>374225.40559147077</v>
      </c>
      <c r="W45" s="3">
        <f t="shared" si="3"/>
        <v>3742254055.9147077</v>
      </c>
      <c r="X45" s="5">
        <f t="shared" si="4"/>
        <v>3.7422540559147075</v>
      </c>
      <c r="Y45" s="3">
        <f t="shared" si="27"/>
        <v>0.5</v>
      </c>
      <c r="Z45" s="3">
        <f t="shared" si="5"/>
        <v>11.74</v>
      </c>
      <c r="AA45" s="3">
        <f t="shared" si="6"/>
        <v>0.33600000000000002</v>
      </c>
      <c r="AB45" s="5">
        <f t="shared" si="30"/>
        <v>1.0067621800329001</v>
      </c>
      <c r="AC45" s="8">
        <f t="shared" si="7"/>
        <v>0</v>
      </c>
      <c r="AD45" s="8">
        <f t="shared" si="8"/>
        <v>0.34877201363290006</v>
      </c>
      <c r="AE45" s="8">
        <f t="shared" si="9"/>
        <v>14.981580060013393</v>
      </c>
      <c r="AF45" s="8">
        <f t="shared" si="10"/>
        <v>44.944740180040178</v>
      </c>
      <c r="AG45" s="3">
        <f t="shared" si="11"/>
        <v>0</v>
      </c>
      <c r="AH45" s="3">
        <f t="shared" si="12"/>
        <v>0</v>
      </c>
      <c r="AI45" s="9">
        <f t="shared" si="13"/>
        <v>17</v>
      </c>
      <c r="AJ45" s="3">
        <f t="shared" si="28"/>
        <v>105.09</v>
      </c>
      <c r="AK45" s="3">
        <f t="shared" si="14"/>
        <v>239.42125338832878</v>
      </c>
      <c r="AL45" s="3">
        <f t="shared" si="15"/>
        <v>0</v>
      </c>
      <c r="AM45" s="3">
        <f t="shared" si="16"/>
        <v>1.0509000000000001E-2</v>
      </c>
      <c r="AN45" s="9">
        <f t="shared" si="17"/>
        <v>3.9327347873607664E-2</v>
      </c>
      <c r="AO45" s="3">
        <f t="shared" si="18"/>
        <v>39327.347873607665</v>
      </c>
      <c r="AP45" s="8">
        <f t="shared" si="19"/>
        <v>39.063195512889131</v>
      </c>
      <c r="AQ45" s="10">
        <f t="shared" si="20"/>
        <v>65.357060430944827</v>
      </c>
      <c r="AR45" s="10">
        <f t="shared" si="21"/>
        <v>196.07118129283447</v>
      </c>
      <c r="AS45" s="8">
        <f t="shared" si="29"/>
        <v>14.09204691609939</v>
      </c>
      <c r="AT45" s="8">
        <f t="shared" si="22"/>
        <v>1.8339466872487697</v>
      </c>
      <c r="AU45" s="8">
        <f t="shared" si="23"/>
        <v>0</v>
      </c>
      <c r="AV45" s="38">
        <f t="shared" si="24"/>
        <v>14.392980939986607</v>
      </c>
      <c r="AW45" s="38">
        <f t="shared" si="25"/>
        <v>0</v>
      </c>
    </row>
    <row r="46" spans="1:49" x14ac:dyDescent="0.4">
      <c r="A46" s="21">
        <v>81</v>
      </c>
      <c r="B46" s="21" t="s">
        <v>94</v>
      </c>
      <c r="C46" s="21">
        <v>97.897906000000006</v>
      </c>
      <c r="D46" s="21">
        <v>619869.5</v>
      </c>
      <c r="E46" s="21">
        <v>6081743.5999999996</v>
      </c>
      <c r="F46" s="21">
        <v>814.4</v>
      </c>
      <c r="G46" s="21">
        <v>17</v>
      </c>
      <c r="H46" s="21">
        <v>0</v>
      </c>
      <c r="I46" s="21">
        <v>9.2100000000000009</v>
      </c>
      <c r="J46" s="21">
        <v>0</v>
      </c>
      <c r="K46" s="21">
        <v>100</v>
      </c>
      <c r="L46" s="21">
        <v>4.9000000000000004</v>
      </c>
      <c r="M46" s="21">
        <v>100</v>
      </c>
      <c r="N46" s="21">
        <v>0</v>
      </c>
      <c r="O46" s="35">
        <v>17</v>
      </c>
      <c r="P46" s="21">
        <v>90</v>
      </c>
      <c r="Q46" s="4">
        <v>781.16</v>
      </c>
      <c r="R46" s="4">
        <v>30.899999619999999</v>
      </c>
      <c r="S46" s="4">
        <f t="shared" si="26"/>
        <v>45.129000000000005</v>
      </c>
      <c r="T46" s="5">
        <f t="shared" si="0"/>
        <v>3.2456920022533735</v>
      </c>
      <c r="U46" s="8">
        <f t="shared" si="1"/>
        <v>515.17765567083813</v>
      </c>
      <c r="V46" s="8">
        <f t="shared" si="2"/>
        <v>402436.17750383192</v>
      </c>
      <c r="W46" s="3">
        <f t="shared" si="3"/>
        <v>4024361775.0383191</v>
      </c>
      <c r="X46" s="5">
        <f t="shared" si="4"/>
        <v>4.0243617750383187</v>
      </c>
      <c r="Y46" s="3">
        <f t="shared" si="27"/>
        <v>0.5</v>
      </c>
      <c r="Z46" s="3">
        <f t="shared" si="5"/>
        <v>11.74</v>
      </c>
      <c r="AA46" s="3">
        <f t="shared" si="6"/>
        <v>0.33600000000000002</v>
      </c>
      <c r="AB46" s="5">
        <f t="shared" si="30"/>
        <v>0.4323358114254901</v>
      </c>
      <c r="AC46" s="8">
        <f t="shared" si="7"/>
        <v>0</v>
      </c>
      <c r="AD46" s="8">
        <f t="shared" si="8"/>
        <v>0</v>
      </c>
      <c r="AE46" s="8">
        <f t="shared" si="9"/>
        <v>6.4335686224031265</v>
      </c>
      <c r="AF46" s="8">
        <f t="shared" si="10"/>
        <v>19.300705867209381</v>
      </c>
      <c r="AG46" s="3">
        <f t="shared" si="11"/>
        <v>0</v>
      </c>
      <c r="AH46" s="3">
        <f t="shared" si="12"/>
        <v>0</v>
      </c>
      <c r="AI46" s="9">
        <f t="shared" si="13"/>
        <v>17</v>
      </c>
      <c r="AJ46" s="3">
        <f t="shared" si="28"/>
        <v>45.129000000000005</v>
      </c>
      <c r="AK46" s="3">
        <f t="shared" si="14"/>
        <v>239.42125338832878</v>
      </c>
      <c r="AL46" s="3">
        <f t="shared" si="15"/>
        <v>0</v>
      </c>
      <c r="AM46" s="3">
        <f t="shared" si="16"/>
        <v>4.5129000000000002E-3</v>
      </c>
      <c r="AN46" s="9">
        <f t="shared" si="17"/>
        <v>1.816154225457043E-2</v>
      </c>
      <c r="AO46" s="3">
        <f t="shared" si="18"/>
        <v>18161.542254570431</v>
      </c>
      <c r="AP46" s="8">
        <f t="shared" si="19"/>
        <v>42.007952555881296</v>
      </c>
      <c r="AQ46" s="10">
        <f t="shared" si="20"/>
        <v>507.22448532994872</v>
      </c>
      <c r="AR46" s="10">
        <f t="shared" si="21"/>
        <v>1521.6734559898464</v>
      </c>
      <c r="AS46" s="8">
        <f t="shared" si="29"/>
        <v>1.537760537718208E-2</v>
      </c>
      <c r="AT46" s="8">
        <f t="shared" si="22"/>
        <v>2.0606446493670148E-9</v>
      </c>
      <c r="AU46" s="8">
        <f t="shared" si="23"/>
        <v>0</v>
      </c>
      <c r="AV46" s="38">
        <f t="shared" si="24"/>
        <v>91.464337377596877</v>
      </c>
      <c r="AW46" s="38">
        <f t="shared" si="25"/>
        <v>78.597200132790618</v>
      </c>
    </row>
    <row r="47" spans="1:49" x14ac:dyDescent="0.4">
      <c r="A47" s="21">
        <v>90</v>
      </c>
      <c r="B47" s="21" t="s">
        <v>94</v>
      </c>
      <c r="C47" s="21">
        <v>44.401201999999998</v>
      </c>
      <c r="D47" s="21">
        <v>619982.69999999995</v>
      </c>
      <c r="E47" s="21">
        <v>6081970.5</v>
      </c>
      <c r="F47" s="21">
        <v>816.2</v>
      </c>
      <c r="G47" s="21">
        <v>14</v>
      </c>
      <c r="H47" s="21">
        <v>0</v>
      </c>
      <c r="I47" s="21">
        <v>118.85</v>
      </c>
      <c r="J47" s="21">
        <v>0</v>
      </c>
      <c r="K47" s="21">
        <v>100</v>
      </c>
      <c r="L47" s="21">
        <v>3.2</v>
      </c>
      <c r="M47" s="21">
        <v>100</v>
      </c>
      <c r="N47" s="21">
        <v>0</v>
      </c>
      <c r="O47" s="35">
        <v>7</v>
      </c>
      <c r="P47" s="21">
        <v>90</v>
      </c>
      <c r="Q47" s="4">
        <v>781.16</v>
      </c>
      <c r="R47" s="4">
        <v>30.899999619999999</v>
      </c>
      <c r="S47" s="4">
        <f t="shared" si="26"/>
        <v>380.32</v>
      </c>
      <c r="T47" s="5">
        <f t="shared" si="0"/>
        <v>2.9294544238463396</v>
      </c>
      <c r="U47" s="8">
        <f t="shared" si="1"/>
        <v>488.39549515554648</v>
      </c>
      <c r="V47" s="8">
        <f t="shared" si="2"/>
        <v>381515.02499570668</v>
      </c>
      <c r="W47" s="3">
        <f t="shared" si="3"/>
        <v>3815150249.957067</v>
      </c>
      <c r="X47" s="5">
        <f t="shared" si="4"/>
        <v>3.8151502499570671</v>
      </c>
      <c r="Y47" s="3">
        <f t="shared" si="27"/>
        <v>0.5</v>
      </c>
      <c r="Z47" s="3">
        <f t="shared" si="5"/>
        <v>11.74</v>
      </c>
      <c r="AA47" s="3">
        <f t="shared" si="6"/>
        <v>0.33600000000000002</v>
      </c>
      <c r="AB47" s="5">
        <f t="shared" si="30"/>
        <v>3.6434655277391998</v>
      </c>
      <c r="AC47" s="8">
        <f t="shared" si="7"/>
        <v>0.65970475333919998</v>
      </c>
      <c r="AD47" s="8">
        <f t="shared" si="8"/>
        <v>2.6488786029391997</v>
      </c>
      <c r="AE47" s="8">
        <f t="shared" si="9"/>
        <v>54.218237019928566</v>
      </c>
      <c r="AF47" s="8">
        <f t="shared" si="10"/>
        <v>162.65471105978571</v>
      </c>
      <c r="AG47" s="3">
        <f t="shared" si="11"/>
        <v>0</v>
      </c>
      <c r="AH47" s="3">
        <f t="shared" si="12"/>
        <v>0</v>
      </c>
      <c r="AI47" s="9">
        <f t="shared" si="13"/>
        <v>7</v>
      </c>
      <c r="AJ47" s="3">
        <f t="shared" si="28"/>
        <v>380.32</v>
      </c>
      <c r="AK47" s="3">
        <f t="shared" si="14"/>
        <v>574.38563336875552</v>
      </c>
      <c r="AL47" s="3">
        <f t="shared" si="15"/>
        <v>0.65970475333919998</v>
      </c>
      <c r="AM47" s="3">
        <f t="shared" si="16"/>
        <v>3.8031999999999996E-2</v>
      </c>
      <c r="AN47" s="9">
        <f t="shared" si="17"/>
        <v>0.14509779430636716</v>
      </c>
      <c r="AO47" s="3">
        <f t="shared" si="18"/>
        <v>145097.79430636714</v>
      </c>
      <c r="AP47" s="8">
        <f t="shared" si="19"/>
        <v>39.824116133850595</v>
      </c>
      <c r="AQ47" s="10">
        <f t="shared" si="20"/>
        <v>27.297827225969375</v>
      </c>
      <c r="AR47" s="10">
        <f t="shared" si="21"/>
        <v>81.893481677908113</v>
      </c>
      <c r="AS47" s="8">
        <f t="shared" si="29"/>
        <v>26.013784147955292</v>
      </c>
      <c r="AT47" s="8">
        <f t="shared" si="22"/>
        <v>11.099880556925648</v>
      </c>
      <c r="AU47" s="8">
        <f t="shared" si="23"/>
        <v>7.3226439649012161</v>
      </c>
      <c r="AV47" s="38">
        <f t="shared" si="24"/>
        <v>0</v>
      </c>
      <c r="AW47" s="38">
        <f t="shared" si="25"/>
        <v>0</v>
      </c>
    </row>
    <row r="48" spans="1:49" x14ac:dyDescent="0.4">
      <c r="A48" s="21">
        <v>101</v>
      </c>
      <c r="B48" s="21" t="s">
        <v>94</v>
      </c>
      <c r="C48" s="21">
        <v>56.040238000000002</v>
      </c>
      <c r="D48" s="21">
        <v>620239.6</v>
      </c>
      <c r="E48" s="21">
        <v>6082171</v>
      </c>
      <c r="F48" s="21">
        <v>817.7</v>
      </c>
      <c r="G48" s="21">
        <v>16</v>
      </c>
      <c r="H48" s="21">
        <v>0</v>
      </c>
      <c r="I48" s="21">
        <v>52.95</v>
      </c>
      <c r="J48" s="21">
        <v>0</v>
      </c>
      <c r="K48" s="21">
        <v>100</v>
      </c>
      <c r="L48" s="21">
        <v>3.6</v>
      </c>
      <c r="M48" s="21">
        <v>100</v>
      </c>
      <c r="N48" s="21">
        <v>0</v>
      </c>
      <c r="O48" s="35">
        <v>12</v>
      </c>
      <c r="P48" s="21">
        <v>90</v>
      </c>
      <c r="Q48" s="4">
        <v>781.16</v>
      </c>
      <c r="R48" s="4">
        <v>30.899999619999999</v>
      </c>
      <c r="S48" s="4">
        <f t="shared" si="26"/>
        <v>190.62</v>
      </c>
      <c r="T48" s="5">
        <f t="shared" si="0"/>
        <v>3.1430387596364455</v>
      </c>
      <c r="U48" s="8">
        <f t="shared" si="1"/>
        <v>506.48395255361049</v>
      </c>
      <c r="V48" s="8">
        <f t="shared" si="2"/>
        <v>395645.00437677838</v>
      </c>
      <c r="W48" s="3">
        <f t="shared" si="3"/>
        <v>3956450043.7677836</v>
      </c>
      <c r="X48" s="5">
        <f t="shared" si="4"/>
        <v>3.9564500437677834</v>
      </c>
      <c r="Y48" s="3">
        <f t="shared" si="27"/>
        <v>0.5</v>
      </c>
      <c r="Z48" s="3">
        <f t="shared" si="5"/>
        <v>11.74</v>
      </c>
      <c r="AA48" s="3">
        <f t="shared" si="6"/>
        <v>0.33600000000000002</v>
      </c>
      <c r="AB48" s="5">
        <f t="shared" si="30"/>
        <v>1.8261395637822002</v>
      </c>
      <c r="AC48" s="8">
        <f t="shared" si="7"/>
        <v>0</v>
      </c>
      <c r="AD48" s="8">
        <f t="shared" si="8"/>
        <v>0.57083823258220001</v>
      </c>
      <c r="AE48" s="8">
        <f t="shared" si="9"/>
        <v>27.174695889616071</v>
      </c>
      <c r="AF48" s="8">
        <f t="shared" si="10"/>
        <v>81.52408766884821</v>
      </c>
      <c r="AG48" s="3">
        <f t="shared" si="11"/>
        <v>0</v>
      </c>
      <c r="AH48" s="3">
        <f t="shared" si="12"/>
        <v>0</v>
      </c>
      <c r="AI48" s="9">
        <f t="shared" si="13"/>
        <v>12</v>
      </c>
      <c r="AJ48" s="3">
        <f t="shared" si="28"/>
        <v>190.62</v>
      </c>
      <c r="AK48" s="3">
        <f t="shared" si="14"/>
        <v>336.68140413208914</v>
      </c>
      <c r="AL48" s="3">
        <f t="shared" si="15"/>
        <v>0</v>
      </c>
      <c r="AM48" s="3">
        <f t="shared" si="16"/>
        <v>1.9061999999999999E-2</v>
      </c>
      <c r="AN48" s="9">
        <f t="shared" si="17"/>
        <v>7.5417850734301489E-2</v>
      </c>
      <c r="AO48" s="3">
        <f t="shared" si="18"/>
        <v>75417.850734301494</v>
      </c>
      <c r="AP48" s="8">
        <f t="shared" si="19"/>
        <v>41.299061818747397</v>
      </c>
      <c r="AQ48" s="10">
        <f t="shared" si="20"/>
        <v>68.740711613524709</v>
      </c>
      <c r="AR48" s="10">
        <f t="shared" si="21"/>
        <v>206.22213484057411</v>
      </c>
      <c r="AS48" s="8">
        <f t="shared" si="29"/>
        <v>14.132607021836497</v>
      </c>
      <c r="AT48" s="8">
        <f t="shared" si="22"/>
        <v>1.6549560952758742</v>
      </c>
      <c r="AU48" s="8">
        <f t="shared" si="23"/>
        <v>0</v>
      </c>
      <c r="AV48" s="38">
        <f t="shared" si="24"/>
        <v>28.865542110383931</v>
      </c>
      <c r="AW48" s="38">
        <f t="shared" si="25"/>
        <v>0</v>
      </c>
    </row>
    <row r="49" spans="1:49" x14ac:dyDescent="0.4">
      <c r="A49" s="21">
        <v>100</v>
      </c>
      <c r="B49" s="21" t="s">
        <v>94</v>
      </c>
      <c r="C49" s="21">
        <v>112.282453</v>
      </c>
      <c r="D49" s="21">
        <v>620213.9</v>
      </c>
      <c r="E49" s="21">
        <v>6082124.7000000002</v>
      </c>
      <c r="F49" s="21">
        <v>828.2</v>
      </c>
      <c r="G49" s="21">
        <v>14</v>
      </c>
      <c r="H49" s="21">
        <v>0</v>
      </c>
      <c r="I49" s="21">
        <v>57.7</v>
      </c>
      <c r="J49" s="21">
        <v>0</v>
      </c>
      <c r="K49" s="21">
        <v>100</v>
      </c>
      <c r="L49" s="21">
        <v>3.5</v>
      </c>
      <c r="M49" s="21">
        <v>100</v>
      </c>
      <c r="N49" s="21">
        <v>0</v>
      </c>
      <c r="O49" s="35">
        <v>5</v>
      </c>
      <c r="P49" s="21">
        <v>90</v>
      </c>
      <c r="Q49" s="4">
        <v>781.16</v>
      </c>
      <c r="R49" s="4">
        <v>30.899999619999999</v>
      </c>
      <c r="S49" s="4">
        <f t="shared" si="26"/>
        <v>201.95000000000002</v>
      </c>
      <c r="T49" s="5">
        <f t="shared" si="0"/>
        <v>2.9294544238463396</v>
      </c>
      <c r="U49" s="8">
        <f t="shared" si="1"/>
        <v>488.39549515554648</v>
      </c>
      <c r="V49" s="8">
        <f t="shared" si="2"/>
        <v>381515.02499570668</v>
      </c>
      <c r="W49" s="3">
        <f t="shared" si="3"/>
        <v>3815150249.957067</v>
      </c>
      <c r="X49" s="5">
        <f t="shared" si="4"/>
        <v>3.8151502499570671</v>
      </c>
      <c r="Y49" s="3">
        <f t="shared" si="27"/>
        <v>0.5</v>
      </c>
      <c r="Z49" s="3">
        <f t="shared" si="5"/>
        <v>11.74</v>
      </c>
      <c r="AA49" s="3">
        <f t="shared" si="6"/>
        <v>0.33600000000000002</v>
      </c>
      <c r="AB49" s="5">
        <f t="shared" si="30"/>
        <v>1.9346809616295002</v>
      </c>
      <c r="AC49" s="8">
        <f t="shared" si="7"/>
        <v>0</v>
      </c>
      <c r="AD49" s="8">
        <f t="shared" si="8"/>
        <v>0</v>
      </c>
      <c r="AE49" s="8">
        <f t="shared" si="9"/>
        <v>28.789895262343752</v>
      </c>
      <c r="AF49" s="8">
        <f t="shared" si="10"/>
        <v>86.369685787031258</v>
      </c>
      <c r="AG49" s="3">
        <f t="shared" si="11"/>
        <v>0</v>
      </c>
      <c r="AH49" s="3">
        <f t="shared" si="12"/>
        <v>0</v>
      </c>
      <c r="AI49" s="9">
        <f t="shared" si="13"/>
        <v>5</v>
      </c>
      <c r="AJ49" s="3">
        <f t="shared" si="28"/>
        <v>201.95000000000002</v>
      </c>
      <c r="AK49" s="3">
        <f t="shared" si="14"/>
        <v>803.15992719688995</v>
      </c>
      <c r="AL49" s="3">
        <f t="shared" si="15"/>
        <v>0</v>
      </c>
      <c r="AM49" s="3">
        <f t="shared" si="16"/>
        <v>2.0195000000000001E-2</v>
      </c>
      <c r="AN49" s="9">
        <f t="shared" si="17"/>
        <v>7.704695929788298E-2</v>
      </c>
      <c r="AO49" s="3">
        <f t="shared" si="18"/>
        <v>77046.959297882975</v>
      </c>
      <c r="AP49" s="8">
        <f t="shared" si="19"/>
        <v>39.824116133850602</v>
      </c>
      <c r="AQ49" s="10">
        <f t="shared" si="20"/>
        <v>130.00215524329215</v>
      </c>
      <c r="AR49" s="10">
        <f t="shared" si="21"/>
        <v>390.00646572987642</v>
      </c>
      <c r="AS49" s="8">
        <f t="shared" si="29"/>
        <v>5.2406159545508908</v>
      </c>
      <c r="AT49" s="8">
        <f t="shared" si="22"/>
        <v>9.0751688169847161E-2</v>
      </c>
      <c r="AU49" s="8">
        <f t="shared" si="23"/>
        <v>0</v>
      </c>
      <c r="AV49" s="38">
        <f t="shared" si="24"/>
        <v>83.492557737656256</v>
      </c>
      <c r="AW49" s="38">
        <f t="shared" si="25"/>
        <v>25.912767212968745</v>
      </c>
    </row>
    <row r="50" spans="1:49" x14ac:dyDescent="0.4">
      <c r="A50" s="21">
        <v>91</v>
      </c>
      <c r="B50" s="21" t="s">
        <v>94</v>
      </c>
      <c r="C50" s="21">
        <v>61.332389999999997</v>
      </c>
      <c r="D50" s="21">
        <v>619988.69999999995</v>
      </c>
      <c r="E50" s="21">
        <v>6082088.5</v>
      </c>
      <c r="F50" s="21">
        <v>828.3</v>
      </c>
      <c r="G50" s="21">
        <v>2</v>
      </c>
      <c r="H50" s="21">
        <v>0</v>
      </c>
      <c r="I50" s="21">
        <v>19.29</v>
      </c>
      <c r="J50" s="21">
        <v>0</v>
      </c>
      <c r="K50" s="21">
        <v>100</v>
      </c>
      <c r="L50" s="21">
        <v>3.1</v>
      </c>
      <c r="M50" s="21">
        <v>100</v>
      </c>
      <c r="N50" s="21">
        <v>0</v>
      </c>
      <c r="O50" s="35">
        <v>13</v>
      </c>
      <c r="P50" s="21">
        <v>90</v>
      </c>
      <c r="Q50" s="4">
        <v>781.16</v>
      </c>
      <c r="R50" s="4">
        <v>30.899999619999999</v>
      </c>
      <c r="S50" s="4">
        <f t="shared" si="26"/>
        <v>59.798999999999999</v>
      </c>
      <c r="T50" s="5">
        <f t="shared" si="0"/>
        <v>1.6018257472049382</v>
      </c>
      <c r="U50" s="8">
        <f t="shared" si="1"/>
        <v>375.95862253078622</v>
      </c>
      <c r="V50" s="8">
        <f t="shared" si="2"/>
        <v>293683.83757614897</v>
      </c>
      <c r="W50" s="3">
        <f t="shared" si="3"/>
        <v>2936838375.7614899</v>
      </c>
      <c r="X50" s="5">
        <f t="shared" si="4"/>
        <v>2.9368383757614898</v>
      </c>
      <c r="Y50" s="3">
        <f t="shared" si="27"/>
        <v>0.5</v>
      </c>
      <c r="Z50" s="3">
        <f t="shared" si="5"/>
        <v>11.74</v>
      </c>
      <c r="AA50" s="3">
        <f t="shared" si="6"/>
        <v>0.33600000000000002</v>
      </c>
      <c r="AB50" s="5">
        <f t="shared" si="30"/>
        <v>0.57287440863819006</v>
      </c>
      <c r="AC50" s="8">
        <f t="shared" si="7"/>
        <v>0</v>
      </c>
      <c r="AD50" s="8">
        <f t="shared" si="8"/>
        <v>0</v>
      </c>
      <c r="AE50" s="8">
        <f t="shared" si="9"/>
        <v>8.5249167952111602</v>
      </c>
      <c r="AF50" s="8">
        <f t="shared" si="10"/>
        <v>25.574750385633479</v>
      </c>
      <c r="AG50" s="3">
        <f t="shared" si="11"/>
        <v>0</v>
      </c>
      <c r="AH50" s="3">
        <f t="shared" si="12"/>
        <v>0</v>
      </c>
      <c r="AI50" s="9">
        <f t="shared" si="13"/>
        <v>13</v>
      </c>
      <c r="AJ50" s="3">
        <f t="shared" si="28"/>
        <v>59.798999999999999</v>
      </c>
      <c r="AK50" s="3">
        <f t="shared" si="14"/>
        <v>311.17880378100608</v>
      </c>
      <c r="AL50" s="3">
        <f t="shared" si="15"/>
        <v>0</v>
      </c>
      <c r="AM50" s="3">
        <f t="shared" si="16"/>
        <v>5.9798999999999998E-3</v>
      </c>
      <c r="AN50" s="9">
        <f t="shared" si="17"/>
        <v>1.7561999803216131E-2</v>
      </c>
      <c r="AO50" s="3">
        <f t="shared" si="18"/>
        <v>17561.999803216131</v>
      </c>
      <c r="AP50" s="8">
        <f t="shared" si="19"/>
        <v>30.655933549141576</v>
      </c>
      <c r="AQ50" s="10">
        <f t="shared" si="20"/>
        <v>239.81618227035847</v>
      </c>
      <c r="AR50" s="10">
        <f t="shared" si="21"/>
        <v>719.44854681107552</v>
      </c>
      <c r="AS50" s="8">
        <f t="shared" si="29"/>
        <v>0.72738002381029199</v>
      </c>
      <c r="AT50" s="8">
        <f t="shared" si="22"/>
        <v>4.0950104773767839E-4</v>
      </c>
      <c r="AU50" s="8">
        <f t="shared" si="23"/>
        <v>0</v>
      </c>
      <c r="AV50" s="38">
        <f t="shared" si="24"/>
        <v>52.807473204788835</v>
      </c>
      <c r="AW50" s="38">
        <f t="shared" si="25"/>
        <v>35.757639614366518</v>
      </c>
    </row>
    <row r="51" spans="1:49" x14ac:dyDescent="0.4">
      <c r="A51" s="21">
        <v>98</v>
      </c>
      <c r="B51" s="21" t="s">
        <v>94</v>
      </c>
      <c r="C51" s="21">
        <v>103.495987</v>
      </c>
      <c r="D51" s="21">
        <v>620124.19999999995</v>
      </c>
      <c r="E51" s="21">
        <v>6082077.4000000004</v>
      </c>
      <c r="F51" s="21">
        <v>830.6</v>
      </c>
      <c r="G51" s="21">
        <v>8</v>
      </c>
      <c r="H51" s="21">
        <v>0</v>
      </c>
      <c r="I51" s="21">
        <v>48.57</v>
      </c>
      <c r="J51" s="21">
        <v>0</v>
      </c>
      <c r="K51" s="21">
        <v>100</v>
      </c>
      <c r="L51" s="21">
        <v>3.8</v>
      </c>
      <c r="M51" s="21">
        <v>100</v>
      </c>
      <c r="N51" s="21">
        <v>0</v>
      </c>
      <c r="O51" s="35">
        <v>7</v>
      </c>
      <c r="P51" s="21">
        <v>90</v>
      </c>
      <c r="Q51" s="4">
        <v>781.16</v>
      </c>
      <c r="R51" s="4">
        <v>30.899999619999999</v>
      </c>
      <c r="S51" s="4">
        <f t="shared" si="26"/>
        <v>184.566</v>
      </c>
      <c r="T51" s="5">
        <f t="shared" si="0"/>
        <v>2.2523775068692409</v>
      </c>
      <c r="U51" s="8">
        <f t="shared" si="1"/>
        <v>431.053851056756</v>
      </c>
      <c r="V51" s="8">
        <f t="shared" si="2"/>
        <v>336722.02629149548</v>
      </c>
      <c r="W51" s="3">
        <f t="shared" si="3"/>
        <v>3367220262.9149547</v>
      </c>
      <c r="X51" s="5">
        <f t="shared" si="4"/>
        <v>3.3672202629149548</v>
      </c>
      <c r="Y51" s="3">
        <f t="shared" si="27"/>
        <v>0.5</v>
      </c>
      <c r="Z51" s="3">
        <f t="shared" si="5"/>
        <v>11.74</v>
      </c>
      <c r="AA51" s="3">
        <f t="shared" si="6"/>
        <v>0.33600000000000002</v>
      </c>
      <c r="AB51" s="5">
        <f t="shared" si="30"/>
        <v>1.76814224493246</v>
      </c>
      <c r="AC51" s="8">
        <f t="shared" si="7"/>
        <v>0</v>
      </c>
      <c r="AD51" s="8">
        <f t="shared" si="8"/>
        <v>0</v>
      </c>
      <c r="AE51" s="8">
        <f t="shared" si="9"/>
        <v>26.311640549590177</v>
      </c>
      <c r="AF51" s="8">
        <f t="shared" si="10"/>
        <v>78.934921648770526</v>
      </c>
      <c r="AG51" s="3">
        <f t="shared" si="11"/>
        <v>0</v>
      </c>
      <c r="AH51" s="3">
        <f t="shared" si="12"/>
        <v>0</v>
      </c>
      <c r="AI51" s="9">
        <f t="shared" si="13"/>
        <v>7</v>
      </c>
      <c r="AJ51" s="3">
        <f t="shared" si="28"/>
        <v>184.566</v>
      </c>
      <c r="AK51" s="3">
        <f t="shared" si="14"/>
        <v>574.38563336875552</v>
      </c>
      <c r="AL51" s="3">
        <f t="shared" si="15"/>
        <v>0</v>
      </c>
      <c r="AM51" s="3">
        <f t="shared" si="16"/>
        <v>1.84566E-2</v>
      </c>
      <c r="AN51" s="9">
        <f t="shared" si="17"/>
        <v>6.2147437504516158E-2</v>
      </c>
      <c r="AO51" s="3">
        <f t="shared" si="18"/>
        <v>62147.437504516158</v>
      </c>
      <c r="AP51" s="8">
        <f t="shared" si="19"/>
        <v>35.148437679509257</v>
      </c>
      <c r="AQ51" s="10">
        <f t="shared" si="20"/>
        <v>131.11558843437712</v>
      </c>
      <c r="AR51" s="10">
        <f t="shared" si="21"/>
        <v>393.34676530313129</v>
      </c>
      <c r="AS51" s="8">
        <f t="shared" si="29"/>
        <v>4.5456784501629954</v>
      </c>
      <c r="AT51" s="8">
        <f t="shared" si="22"/>
        <v>7.602984117666442E-2</v>
      </c>
      <c r="AU51" s="8">
        <f t="shared" si="23"/>
        <v>0</v>
      </c>
      <c r="AV51" s="38">
        <f t="shared" si="24"/>
        <v>77.184346450409819</v>
      </c>
      <c r="AW51" s="38">
        <f t="shared" si="25"/>
        <v>24.561065351229473</v>
      </c>
    </row>
    <row r="52" spans="1:49" x14ac:dyDescent="0.4">
      <c r="O52" s="35"/>
      <c r="Q52" s="4"/>
      <c r="R52" s="4"/>
      <c r="S52" s="4"/>
      <c r="T52" s="8"/>
      <c r="U52" s="8"/>
      <c r="W52" s="5"/>
      <c r="AA52" s="5"/>
      <c r="AB52" s="5"/>
      <c r="AC52" s="8"/>
      <c r="AD52" s="8"/>
      <c r="AE52" s="8"/>
      <c r="AH52" s="9"/>
      <c r="AM52" s="9"/>
      <c r="AO52" s="8"/>
      <c r="AP52" s="10"/>
      <c r="AQ52" s="10"/>
      <c r="AR52" s="8"/>
      <c r="AS52" s="8"/>
      <c r="AT52" s="8"/>
    </row>
    <row r="53" spans="1:49" x14ac:dyDescent="0.4">
      <c r="O53" s="35"/>
      <c r="Q53" s="4"/>
      <c r="R53" s="4"/>
      <c r="S53" s="4"/>
    </row>
    <row r="54" spans="1:49" x14ac:dyDescent="0.4">
      <c r="O54" s="35"/>
      <c r="Q54" s="4"/>
      <c r="R54" s="4"/>
      <c r="S54" s="4"/>
    </row>
    <row r="58" spans="1:49" x14ac:dyDescent="0.4">
      <c r="Q58" s="4"/>
      <c r="R58" s="4"/>
      <c r="S58" s="4"/>
      <c r="T58" s="5"/>
      <c r="U58" s="8"/>
      <c r="V58" s="8"/>
      <c r="X58" s="5"/>
      <c r="AB58" s="5"/>
      <c r="AC58" s="8"/>
      <c r="AD58" s="8"/>
      <c r="AE58" s="8"/>
      <c r="AF58" s="8"/>
      <c r="AI58" s="9"/>
      <c r="AN58" s="9"/>
      <c r="AP58" s="8"/>
      <c r="AQ58" s="10"/>
      <c r="AR58" s="10"/>
      <c r="AS58" s="8"/>
      <c r="AT58" s="8"/>
      <c r="AU58" s="8"/>
    </row>
    <row r="59" spans="1:49" x14ac:dyDescent="0.4">
      <c r="Q59" s="4"/>
      <c r="R59" s="4"/>
      <c r="S59" s="4"/>
      <c r="T59" s="5"/>
      <c r="U59" s="8"/>
      <c r="V59" s="8"/>
      <c r="X59" s="5"/>
      <c r="AB59" s="5"/>
      <c r="AC59" s="8"/>
      <c r="AD59" s="8"/>
      <c r="AE59" s="8"/>
      <c r="AF59" s="8"/>
      <c r="AI59" s="9"/>
      <c r="AN59" s="9"/>
      <c r="AP59" s="8"/>
      <c r="AQ59" s="10"/>
      <c r="AR59" s="10"/>
      <c r="AS59" s="8"/>
      <c r="AT59" s="8"/>
      <c r="AU59" s="8"/>
    </row>
    <row r="60" spans="1:49" x14ac:dyDescent="0.4">
      <c r="Q60" s="4"/>
      <c r="R60" s="4"/>
      <c r="S60" s="4"/>
      <c r="T60" s="5"/>
      <c r="U60" s="8"/>
      <c r="V60" s="8"/>
      <c r="X60" s="5"/>
      <c r="AB60" s="5"/>
      <c r="AC60" s="8"/>
      <c r="AD60" s="8"/>
      <c r="AE60" s="8"/>
      <c r="AF60" s="8"/>
      <c r="AI60" s="9"/>
      <c r="AN60" s="9"/>
      <c r="AP60" s="8"/>
      <c r="AQ60" s="10"/>
      <c r="AR60" s="10"/>
      <c r="AS60" s="8"/>
      <c r="AT60" s="8"/>
      <c r="AU60" s="8"/>
    </row>
    <row r="61" spans="1:49" x14ac:dyDescent="0.4">
      <c r="Q61" s="4"/>
      <c r="R61" s="4"/>
      <c r="S61" s="4"/>
      <c r="T61" s="5"/>
      <c r="U61" s="8"/>
      <c r="V61" s="8"/>
      <c r="X61" s="5"/>
      <c r="AB61" s="5"/>
      <c r="AC61" s="8"/>
      <c r="AD61" s="8"/>
      <c r="AE61" s="8"/>
      <c r="AF61" s="8"/>
      <c r="AI61" s="9"/>
      <c r="AN61" s="9"/>
      <c r="AP61" s="8"/>
      <c r="AQ61" s="10"/>
      <c r="AR61" s="10"/>
      <c r="AS61" s="8"/>
      <c r="AT61" s="8"/>
      <c r="AU61" s="8"/>
    </row>
    <row r="62" spans="1:49" x14ac:dyDescent="0.4">
      <c r="Q62" s="4"/>
      <c r="R62" s="4"/>
      <c r="S62" s="4"/>
      <c r="T62" s="5"/>
      <c r="U62" s="8"/>
      <c r="V62" s="8"/>
      <c r="X62" s="5"/>
      <c r="AB62" s="5"/>
      <c r="AC62" s="8"/>
      <c r="AD62" s="8"/>
      <c r="AE62" s="8"/>
      <c r="AF62" s="8"/>
      <c r="AI62" s="9"/>
      <c r="AN62" s="9"/>
      <c r="AP62" s="8"/>
      <c r="AQ62" s="10"/>
      <c r="AR62" s="10"/>
      <c r="AS62" s="8"/>
      <c r="AT62" s="8"/>
      <c r="AU62" s="8"/>
    </row>
    <row r="63" spans="1:49" x14ac:dyDescent="0.4">
      <c r="Q63" s="4"/>
      <c r="R63" s="4"/>
      <c r="S63" s="4"/>
      <c r="T63" s="5"/>
      <c r="U63" s="8"/>
      <c r="V63" s="8"/>
      <c r="X63" s="5"/>
      <c r="AB63" s="5"/>
      <c r="AC63" s="8"/>
      <c r="AD63" s="8"/>
      <c r="AE63" s="8"/>
      <c r="AF63" s="8"/>
      <c r="AI63" s="9"/>
      <c r="AN63" s="9"/>
      <c r="AP63" s="8"/>
      <c r="AQ63" s="10"/>
      <c r="AR63" s="10"/>
      <c r="AS63" s="8"/>
      <c r="AT63" s="8"/>
      <c r="AU63" s="8"/>
    </row>
    <row r="64" spans="1:49" x14ac:dyDescent="0.4">
      <c r="Q64" s="4"/>
      <c r="R64" s="4"/>
      <c r="S64" s="4"/>
      <c r="T64" s="5"/>
      <c r="U64" s="8"/>
      <c r="V64" s="8"/>
      <c r="X64" s="5"/>
      <c r="AB64" s="5"/>
      <c r="AC64" s="8"/>
      <c r="AD64" s="8"/>
      <c r="AE64" s="8"/>
      <c r="AF64" s="8"/>
      <c r="AI64" s="9"/>
      <c r="AN64" s="9"/>
      <c r="AP64" s="8"/>
      <c r="AQ64" s="10"/>
      <c r="AR64" s="10"/>
      <c r="AS64" s="8"/>
      <c r="AT64" s="8"/>
      <c r="AU64" s="8"/>
    </row>
    <row r="65" spans="17:47" x14ac:dyDescent="0.4">
      <c r="Q65" s="4"/>
      <c r="R65" s="4"/>
      <c r="S65" s="4"/>
      <c r="T65" s="5"/>
      <c r="U65" s="8"/>
      <c r="V65" s="8"/>
      <c r="X65" s="5"/>
      <c r="AB65" s="5"/>
      <c r="AC65" s="8"/>
      <c r="AD65" s="8"/>
      <c r="AE65" s="8"/>
      <c r="AF65" s="8"/>
      <c r="AI65" s="9"/>
      <c r="AN65" s="9"/>
      <c r="AP65" s="8"/>
      <c r="AQ65" s="10"/>
      <c r="AR65" s="10"/>
      <c r="AS65" s="8"/>
      <c r="AT65" s="8"/>
      <c r="AU65" s="8"/>
    </row>
    <row r="66" spans="17:47" x14ac:dyDescent="0.4">
      <c r="Q66" s="4"/>
      <c r="R66" s="4"/>
      <c r="S66" s="4"/>
      <c r="T66" s="5"/>
      <c r="U66" s="8"/>
      <c r="V66" s="8"/>
      <c r="X66" s="5"/>
      <c r="AB66" s="5"/>
      <c r="AC66" s="8"/>
      <c r="AD66" s="8"/>
      <c r="AE66" s="8"/>
      <c r="AF66" s="8"/>
      <c r="AI66" s="9"/>
      <c r="AN66" s="9"/>
      <c r="AP66" s="8"/>
      <c r="AQ66" s="10"/>
      <c r="AR66" s="10"/>
      <c r="AS66" s="8"/>
      <c r="AT66" s="8"/>
      <c r="AU66" s="8"/>
    </row>
    <row r="67" spans="17:47" x14ac:dyDescent="0.4">
      <c r="Q67" s="4"/>
      <c r="R67" s="4"/>
      <c r="S67" s="4"/>
      <c r="T67" s="5"/>
      <c r="U67" s="8"/>
      <c r="V67" s="8"/>
      <c r="X67" s="5"/>
      <c r="AB67" s="5"/>
      <c r="AC67" s="8"/>
      <c r="AD67" s="8"/>
      <c r="AE67" s="8"/>
      <c r="AF67" s="8"/>
      <c r="AI67" s="9"/>
      <c r="AN67" s="9"/>
      <c r="AP67" s="8"/>
      <c r="AQ67" s="10"/>
      <c r="AR67" s="10"/>
      <c r="AS67" s="8"/>
      <c r="AT67" s="8"/>
      <c r="AU67" s="8"/>
    </row>
    <row r="68" spans="17:47" x14ac:dyDescent="0.4">
      <c r="Q68" s="4"/>
      <c r="R68" s="4"/>
      <c r="S68" s="4"/>
      <c r="T68" s="5"/>
      <c r="U68" s="8"/>
      <c r="V68" s="8"/>
      <c r="X68" s="5"/>
      <c r="AB68" s="5"/>
      <c r="AC68" s="8"/>
      <c r="AD68" s="8"/>
      <c r="AE68" s="8"/>
      <c r="AF68" s="8"/>
      <c r="AI68" s="9"/>
      <c r="AN68" s="9"/>
      <c r="AP68" s="8"/>
      <c r="AQ68" s="10"/>
      <c r="AR68" s="10"/>
      <c r="AS68" s="8"/>
      <c r="AT68" s="8"/>
      <c r="AU68" s="8"/>
    </row>
    <row r="69" spans="17:47" x14ac:dyDescent="0.4">
      <c r="Q69" s="4"/>
      <c r="R69" s="4"/>
      <c r="S69" s="4"/>
      <c r="T69" s="5"/>
      <c r="U69" s="8"/>
      <c r="V69" s="8"/>
      <c r="X69" s="5"/>
      <c r="AB69" s="5"/>
      <c r="AC69" s="8"/>
      <c r="AD69" s="8"/>
      <c r="AE69" s="8"/>
      <c r="AF69" s="8"/>
      <c r="AI69" s="9"/>
      <c r="AN69" s="9"/>
      <c r="AP69" s="8"/>
      <c r="AQ69" s="10"/>
      <c r="AR69" s="10"/>
      <c r="AS69" s="8"/>
      <c r="AT69" s="8"/>
      <c r="AU69" s="8"/>
    </row>
    <row r="70" spans="17:47" x14ac:dyDescent="0.4">
      <c r="Q70" s="4"/>
      <c r="R70" s="4"/>
      <c r="S70" s="4"/>
      <c r="T70" s="5"/>
      <c r="U70" s="8"/>
      <c r="V70" s="8"/>
      <c r="X70" s="5"/>
      <c r="AB70" s="5"/>
      <c r="AC70" s="8"/>
      <c r="AD70" s="8"/>
      <c r="AE70" s="8"/>
      <c r="AF70" s="8"/>
      <c r="AI70" s="9"/>
      <c r="AN70" s="9"/>
      <c r="AP70" s="8"/>
      <c r="AQ70" s="10"/>
      <c r="AR70" s="10"/>
      <c r="AS70" s="8"/>
      <c r="AT70" s="8"/>
      <c r="AU70" s="8"/>
    </row>
    <row r="71" spans="17:47" x14ac:dyDescent="0.4">
      <c r="Q71" s="4"/>
      <c r="R71" s="4"/>
      <c r="S71" s="4"/>
      <c r="T71" s="5"/>
      <c r="U71" s="8"/>
      <c r="V71" s="8"/>
      <c r="X71" s="5"/>
      <c r="AB71" s="5"/>
      <c r="AC71" s="8"/>
      <c r="AD71" s="8"/>
      <c r="AE71" s="8"/>
      <c r="AF71" s="8"/>
      <c r="AI71" s="9"/>
      <c r="AN71" s="9"/>
      <c r="AP71" s="8"/>
      <c r="AQ71" s="10"/>
      <c r="AR71" s="10"/>
      <c r="AS71" s="8"/>
      <c r="AT71" s="8"/>
      <c r="AU71" s="8"/>
    </row>
    <row r="72" spans="17:47" x14ac:dyDescent="0.4">
      <c r="Q72" s="4"/>
      <c r="R72" s="4"/>
      <c r="S72" s="4"/>
      <c r="T72" s="5"/>
      <c r="U72" s="8"/>
      <c r="V72" s="8"/>
      <c r="X72" s="5"/>
      <c r="AB72" s="5"/>
      <c r="AC72" s="8"/>
      <c r="AD72" s="8"/>
      <c r="AE72" s="8"/>
      <c r="AF72" s="8"/>
      <c r="AI72" s="9"/>
      <c r="AN72" s="9"/>
      <c r="AP72" s="8"/>
      <c r="AQ72" s="10"/>
      <c r="AR72" s="10"/>
      <c r="AS72" s="8"/>
      <c r="AT72" s="8"/>
      <c r="AU72" s="8"/>
    </row>
    <row r="73" spans="17:47" x14ac:dyDescent="0.4">
      <c r="Q73" s="4"/>
      <c r="R73" s="4"/>
      <c r="S73" s="4"/>
      <c r="T73" s="5"/>
      <c r="U73" s="8"/>
      <c r="V73" s="8"/>
      <c r="X73" s="5"/>
      <c r="AB73" s="5"/>
      <c r="AC73" s="8"/>
      <c r="AD73" s="8"/>
      <c r="AE73" s="8"/>
      <c r="AF73" s="8"/>
      <c r="AI73" s="9"/>
      <c r="AN73" s="9"/>
      <c r="AP73" s="8"/>
      <c r="AQ73" s="10"/>
      <c r="AR73" s="10"/>
      <c r="AS73" s="8"/>
      <c r="AT73" s="8"/>
      <c r="AU73" s="8"/>
    </row>
    <row r="74" spans="17:47" x14ac:dyDescent="0.4">
      <c r="Q74" s="4"/>
      <c r="R74" s="4"/>
      <c r="S74" s="4"/>
      <c r="T74" s="5"/>
      <c r="U74" s="8"/>
      <c r="V74" s="8"/>
      <c r="X74" s="5"/>
      <c r="AB74" s="5"/>
      <c r="AC74" s="8"/>
      <c r="AD74" s="8"/>
      <c r="AE74" s="8"/>
      <c r="AF74" s="8"/>
      <c r="AI74" s="9"/>
      <c r="AN74" s="9"/>
      <c r="AP74" s="8"/>
      <c r="AQ74" s="10"/>
      <c r="AR74" s="10"/>
      <c r="AS74" s="8"/>
      <c r="AT74" s="8"/>
      <c r="AU74" s="8"/>
    </row>
    <row r="75" spans="17:47" x14ac:dyDescent="0.4">
      <c r="Q75" s="4"/>
      <c r="R75" s="4"/>
      <c r="S75" s="4"/>
      <c r="T75" s="5"/>
      <c r="U75" s="8"/>
      <c r="V75" s="8"/>
      <c r="X75" s="5"/>
      <c r="AB75" s="5"/>
      <c r="AC75" s="8"/>
      <c r="AD75" s="8"/>
      <c r="AE75" s="8"/>
      <c r="AF75" s="8"/>
      <c r="AI75" s="9"/>
      <c r="AN75" s="9"/>
      <c r="AP75" s="8"/>
      <c r="AQ75" s="10"/>
      <c r="AR75" s="10"/>
      <c r="AS75" s="8"/>
      <c r="AT75" s="8"/>
      <c r="AU75" s="8"/>
    </row>
    <row r="76" spans="17:47" x14ac:dyDescent="0.4">
      <c r="Q76" s="4"/>
      <c r="R76" s="4"/>
      <c r="S76" s="4"/>
      <c r="T76" s="5"/>
      <c r="U76" s="8"/>
      <c r="V76" s="8"/>
      <c r="X76" s="5"/>
      <c r="AB76" s="5"/>
      <c r="AC76" s="8"/>
      <c r="AD76" s="8"/>
      <c r="AE76" s="8"/>
      <c r="AF76" s="8"/>
      <c r="AI76" s="9"/>
      <c r="AN76" s="9"/>
      <c r="AP76" s="8"/>
      <c r="AQ76" s="10"/>
      <c r="AR76" s="10"/>
      <c r="AS76" s="8"/>
      <c r="AT76" s="8"/>
      <c r="AU76" s="8"/>
    </row>
    <row r="77" spans="17:47" x14ac:dyDescent="0.4">
      <c r="Q77" s="4"/>
      <c r="R77" s="4"/>
      <c r="S77" s="4"/>
      <c r="T77" s="5"/>
      <c r="U77" s="8"/>
      <c r="V77" s="8"/>
      <c r="X77" s="5"/>
      <c r="AB77" s="5"/>
      <c r="AC77" s="8"/>
      <c r="AD77" s="8"/>
      <c r="AE77" s="8"/>
      <c r="AF77" s="8"/>
      <c r="AI77" s="9"/>
      <c r="AN77" s="9"/>
      <c r="AP77" s="8"/>
      <c r="AQ77" s="10"/>
      <c r="AR77" s="10"/>
      <c r="AS77" s="8"/>
      <c r="AT77" s="8"/>
      <c r="AU77" s="8"/>
    </row>
    <row r="78" spans="17:47" x14ac:dyDescent="0.4">
      <c r="Q78" s="4"/>
      <c r="R78" s="4"/>
      <c r="S78" s="4"/>
      <c r="T78" s="5"/>
      <c r="U78" s="8"/>
      <c r="V78" s="8"/>
      <c r="X78" s="5"/>
      <c r="AB78" s="5"/>
      <c r="AC78" s="8"/>
      <c r="AD78" s="8"/>
      <c r="AE78" s="8"/>
      <c r="AF78" s="8"/>
      <c r="AI78" s="9"/>
      <c r="AN78" s="9"/>
      <c r="AP78" s="8"/>
      <c r="AQ78" s="10"/>
      <c r="AR78" s="10"/>
      <c r="AS78" s="8"/>
      <c r="AT78" s="8"/>
      <c r="AU78" s="8"/>
    </row>
    <row r="79" spans="17:47" x14ac:dyDescent="0.4">
      <c r="Q79" s="4"/>
      <c r="R79" s="4"/>
      <c r="S79" s="4"/>
      <c r="T79" s="5"/>
      <c r="U79" s="8"/>
      <c r="V79" s="8"/>
      <c r="X79" s="5"/>
      <c r="AB79" s="5"/>
      <c r="AC79" s="8"/>
      <c r="AD79" s="8"/>
      <c r="AE79" s="8"/>
      <c r="AF79" s="8"/>
      <c r="AI79" s="9"/>
      <c r="AN79" s="9"/>
      <c r="AP79" s="8"/>
      <c r="AQ79" s="10"/>
      <c r="AR79" s="10"/>
      <c r="AS79" s="8"/>
      <c r="AT79" s="8"/>
      <c r="AU79" s="8"/>
    </row>
    <row r="80" spans="17:47" x14ac:dyDescent="0.4">
      <c r="Q80" s="4"/>
      <c r="R80" s="4"/>
      <c r="S80" s="4"/>
      <c r="T80" s="5"/>
      <c r="U80" s="8"/>
      <c r="V80" s="8"/>
      <c r="X80" s="5"/>
      <c r="AB80" s="5"/>
      <c r="AC80" s="8"/>
      <c r="AD80" s="8"/>
      <c r="AE80" s="8"/>
      <c r="AF80" s="8"/>
      <c r="AI80" s="9"/>
      <c r="AN80" s="9"/>
      <c r="AP80" s="8"/>
      <c r="AQ80" s="10"/>
      <c r="AR80" s="10"/>
      <c r="AS80" s="8"/>
      <c r="AT80" s="8"/>
      <c r="AU80" s="8"/>
    </row>
    <row r="81" spans="17:47" x14ac:dyDescent="0.4">
      <c r="Q81" s="4"/>
      <c r="R81" s="4"/>
      <c r="S81" s="4"/>
      <c r="T81" s="5"/>
      <c r="U81" s="8"/>
      <c r="V81" s="8"/>
      <c r="X81" s="5"/>
      <c r="AB81" s="5"/>
      <c r="AC81" s="8"/>
      <c r="AD81" s="8"/>
      <c r="AE81" s="8"/>
      <c r="AF81" s="8"/>
      <c r="AI81" s="9"/>
      <c r="AN81" s="9"/>
      <c r="AP81" s="8"/>
      <c r="AQ81" s="10"/>
      <c r="AR81" s="10"/>
      <c r="AS81" s="8"/>
      <c r="AT81" s="8"/>
      <c r="AU81" s="8"/>
    </row>
    <row r="82" spans="17:47" x14ac:dyDescent="0.4">
      <c r="Q82" s="4"/>
      <c r="R82" s="4"/>
      <c r="S82" s="4"/>
      <c r="T82" s="5"/>
      <c r="U82" s="8"/>
      <c r="V82" s="8"/>
      <c r="X82" s="5"/>
      <c r="AB82" s="5"/>
      <c r="AC82" s="8"/>
      <c r="AD82" s="8"/>
      <c r="AE82" s="8"/>
      <c r="AF82" s="8"/>
      <c r="AI82" s="9"/>
      <c r="AN82" s="9"/>
      <c r="AP82" s="8"/>
      <c r="AQ82" s="10"/>
      <c r="AR82" s="10"/>
      <c r="AS82" s="8"/>
      <c r="AT82" s="8"/>
      <c r="AU82" s="8"/>
    </row>
    <row r="83" spans="17:47" x14ac:dyDescent="0.4">
      <c r="Q83" s="4"/>
      <c r="R83" s="4"/>
      <c r="S83" s="4"/>
      <c r="T83" s="5"/>
      <c r="U83" s="8"/>
      <c r="V83" s="8"/>
      <c r="X83" s="5"/>
      <c r="AB83" s="5"/>
      <c r="AC83" s="8"/>
      <c r="AD83" s="8"/>
      <c r="AE83" s="8"/>
      <c r="AF83" s="8"/>
      <c r="AI83" s="9"/>
      <c r="AN83" s="9"/>
      <c r="AP83" s="8"/>
      <c r="AQ83" s="10"/>
      <c r="AR83" s="10"/>
      <c r="AS83" s="8"/>
      <c r="AT83" s="8"/>
      <c r="AU83" s="8"/>
    </row>
    <row r="84" spans="17:47" x14ac:dyDescent="0.4">
      <c r="Q84" s="4"/>
      <c r="R84" s="4"/>
      <c r="S84" s="4"/>
      <c r="T84" s="5"/>
      <c r="U84" s="8"/>
      <c r="V84" s="8"/>
      <c r="X84" s="5"/>
      <c r="AB84" s="5"/>
      <c r="AC84" s="8"/>
      <c r="AD84" s="8"/>
      <c r="AE84" s="8"/>
      <c r="AF84" s="8"/>
      <c r="AI84" s="9"/>
      <c r="AN84" s="9"/>
      <c r="AP84" s="8"/>
      <c r="AQ84" s="10"/>
      <c r="AR84" s="10"/>
      <c r="AS84" s="8"/>
      <c r="AT84" s="8"/>
      <c r="AU84" s="8"/>
    </row>
    <row r="85" spans="17:47" x14ac:dyDescent="0.4">
      <c r="Q85" s="4"/>
      <c r="R85" s="4"/>
      <c r="S85" s="4"/>
      <c r="T85" s="5"/>
      <c r="U85" s="8"/>
      <c r="V85" s="8"/>
      <c r="X85" s="5"/>
      <c r="AB85" s="5"/>
      <c r="AC85" s="8"/>
      <c r="AD85" s="8"/>
      <c r="AE85" s="8"/>
      <c r="AF85" s="8"/>
      <c r="AI85" s="9"/>
      <c r="AN85" s="9"/>
      <c r="AP85" s="8"/>
      <c r="AQ85" s="10"/>
      <c r="AR85" s="10"/>
      <c r="AS85" s="8"/>
      <c r="AT85" s="8"/>
      <c r="AU85" s="8"/>
    </row>
    <row r="86" spans="17:47" x14ac:dyDescent="0.4">
      <c r="Q86" s="4"/>
      <c r="R86" s="4"/>
      <c r="S86" s="4"/>
      <c r="T86" s="5"/>
      <c r="U86" s="8"/>
      <c r="V86" s="8"/>
      <c r="X86" s="5"/>
      <c r="AB86" s="5"/>
      <c r="AC86" s="8"/>
      <c r="AD86" s="8"/>
      <c r="AE86" s="8"/>
      <c r="AF86" s="8"/>
      <c r="AI86" s="9"/>
      <c r="AN86" s="9"/>
      <c r="AP86" s="8"/>
      <c r="AQ86" s="10"/>
      <c r="AR86" s="10"/>
      <c r="AS86" s="8"/>
      <c r="AT86" s="8"/>
      <c r="AU86" s="8"/>
    </row>
    <row r="87" spans="17:47" x14ac:dyDescent="0.4">
      <c r="Q87" s="4"/>
      <c r="R87" s="4"/>
      <c r="S87" s="4"/>
      <c r="T87" s="5"/>
      <c r="U87" s="8"/>
      <c r="V87" s="8"/>
      <c r="X87" s="5"/>
      <c r="AB87" s="5"/>
      <c r="AC87" s="8"/>
      <c r="AD87" s="8"/>
      <c r="AE87" s="8"/>
      <c r="AF87" s="8"/>
      <c r="AI87" s="9"/>
      <c r="AN87" s="9"/>
      <c r="AP87" s="8"/>
      <c r="AQ87" s="10"/>
      <c r="AR87" s="10"/>
      <c r="AS87" s="8"/>
      <c r="AT87" s="8"/>
      <c r="AU87" s="8"/>
    </row>
    <row r="88" spans="17:47" x14ac:dyDescent="0.4">
      <c r="Q88" s="4"/>
      <c r="R88" s="4"/>
      <c r="S88" s="4"/>
      <c r="T88" s="5"/>
      <c r="U88" s="8"/>
      <c r="V88" s="8"/>
      <c r="X88" s="5"/>
      <c r="AB88" s="5"/>
      <c r="AC88" s="8"/>
      <c r="AD88" s="8"/>
      <c r="AE88" s="8"/>
      <c r="AF88" s="8"/>
      <c r="AI88" s="9"/>
      <c r="AN88" s="9"/>
      <c r="AP88" s="8"/>
      <c r="AQ88" s="10"/>
      <c r="AR88" s="10"/>
      <c r="AS88" s="8"/>
      <c r="AT88" s="8"/>
      <c r="AU88" s="8"/>
    </row>
    <row r="89" spans="17:47" x14ac:dyDescent="0.4">
      <c r="Q89" s="4"/>
      <c r="R89" s="4"/>
      <c r="S89" s="4"/>
      <c r="T89" s="5"/>
      <c r="U89" s="8"/>
      <c r="V89" s="8"/>
      <c r="X89" s="5"/>
      <c r="AB89" s="5"/>
      <c r="AC89" s="8"/>
      <c r="AD89" s="8"/>
      <c r="AE89" s="8"/>
      <c r="AF89" s="8"/>
      <c r="AI89" s="9"/>
      <c r="AN89" s="9"/>
      <c r="AP89" s="8"/>
      <c r="AQ89" s="10"/>
      <c r="AR89" s="10"/>
      <c r="AS89" s="8"/>
      <c r="AT89" s="8"/>
      <c r="AU89" s="8"/>
    </row>
    <row r="90" spans="17:47" x14ac:dyDescent="0.4">
      <c r="Q90" s="4"/>
      <c r="R90" s="4"/>
      <c r="S90" s="4"/>
      <c r="T90" s="5"/>
      <c r="U90" s="8"/>
      <c r="V90" s="8"/>
      <c r="X90" s="5"/>
      <c r="AB90" s="5"/>
      <c r="AC90" s="8"/>
      <c r="AD90" s="8"/>
      <c r="AE90" s="8"/>
      <c r="AF90" s="8"/>
      <c r="AI90" s="9"/>
      <c r="AN90" s="9"/>
      <c r="AP90" s="8"/>
      <c r="AQ90" s="10"/>
      <c r="AR90" s="10"/>
      <c r="AS90" s="8"/>
      <c r="AT90" s="8"/>
      <c r="AU90" s="8"/>
    </row>
    <row r="91" spans="17:47" x14ac:dyDescent="0.4">
      <c r="Q91" s="4"/>
      <c r="R91" s="4"/>
      <c r="S91" s="4"/>
      <c r="T91" s="5"/>
      <c r="U91" s="8"/>
      <c r="V91" s="8"/>
      <c r="X91" s="5"/>
      <c r="AB91" s="5"/>
      <c r="AC91" s="8"/>
      <c r="AD91" s="8"/>
      <c r="AE91" s="8"/>
      <c r="AF91" s="8"/>
      <c r="AI91" s="9"/>
      <c r="AN91" s="9"/>
      <c r="AP91" s="8"/>
      <c r="AQ91" s="10"/>
      <c r="AR91" s="10"/>
      <c r="AS91" s="8"/>
      <c r="AT91" s="8"/>
      <c r="AU91" s="8"/>
    </row>
    <row r="92" spans="17:47" x14ac:dyDescent="0.4">
      <c r="Q92" s="4"/>
      <c r="R92" s="4"/>
      <c r="S92" s="4"/>
      <c r="T92" s="5"/>
      <c r="U92" s="8"/>
      <c r="V92" s="8"/>
      <c r="X92" s="5"/>
      <c r="AB92" s="5"/>
      <c r="AC92" s="8"/>
      <c r="AD92" s="8"/>
      <c r="AE92" s="8"/>
      <c r="AF92" s="8"/>
      <c r="AI92" s="9"/>
      <c r="AN92" s="9"/>
      <c r="AP92" s="8"/>
      <c r="AQ92" s="10"/>
      <c r="AR92" s="10"/>
      <c r="AS92" s="8"/>
      <c r="AT92" s="8"/>
      <c r="AU92" s="8"/>
    </row>
    <row r="93" spans="17:47" x14ac:dyDescent="0.4">
      <c r="Q93" s="4"/>
      <c r="R93" s="4"/>
      <c r="S93" s="4"/>
      <c r="T93" s="5"/>
      <c r="U93" s="8"/>
      <c r="V93" s="8"/>
      <c r="X93" s="5"/>
      <c r="AB93" s="5"/>
      <c r="AC93" s="8"/>
      <c r="AD93" s="8"/>
      <c r="AE93" s="8"/>
      <c r="AF93" s="8"/>
      <c r="AI93" s="9"/>
      <c r="AN93" s="9"/>
      <c r="AP93" s="8"/>
      <c r="AQ93" s="10"/>
      <c r="AR93" s="10"/>
      <c r="AS93" s="8"/>
      <c r="AT93" s="8"/>
      <c r="AU93" s="8"/>
    </row>
    <row r="94" spans="17:47" x14ac:dyDescent="0.4">
      <c r="Q94" s="4"/>
      <c r="R94" s="4"/>
      <c r="S94" s="4"/>
      <c r="T94" s="5"/>
      <c r="U94" s="8"/>
      <c r="V94" s="8"/>
      <c r="X94" s="5"/>
      <c r="AB94" s="5"/>
      <c r="AC94" s="8"/>
      <c r="AD94" s="8"/>
      <c r="AE94" s="8"/>
      <c r="AF94" s="8"/>
      <c r="AI94" s="9"/>
      <c r="AN94" s="9"/>
      <c r="AP94" s="8"/>
      <c r="AQ94" s="10"/>
      <c r="AR94" s="10"/>
      <c r="AS94" s="8"/>
      <c r="AT94" s="8"/>
      <c r="AU94" s="8"/>
    </row>
    <row r="95" spans="17:47" x14ac:dyDescent="0.4">
      <c r="Q95" s="4"/>
      <c r="R95" s="4"/>
      <c r="S95" s="4"/>
      <c r="T95" s="5"/>
      <c r="U95" s="8"/>
      <c r="V95" s="8"/>
      <c r="X95" s="5"/>
      <c r="AB95" s="5"/>
      <c r="AC95" s="8"/>
      <c r="AD95" s="8"/>
      <c r="AE95" s="8"/>
      <c r="AF95" s="8"/>
      <c r="AI95" s="9"/>
      <c r="AN95" s="9"/>
      <c r="AP95" s="8"/>
      <c r="AQ95" s="10"/>
      <c r="AR95" s="10"/>
      <c r="AS95" s="8"/>
      <c r="AT95" s="8"/>
      <c r="AU95" s="8"/>
    </row>
    <row r="96" spans="17:47" x14ac:dyDescent="0.4">
      <c r="Q96" s="4"/>
      <c r="R96" s="4"/>
      <c r="S96" s="4"/>
      <c r="T96" s="5"/>
      <c r="U96" s="8"/>
      <c r="V96" s="8"/>
      <c r="X96" s="5"/>
      <c r="AB96" s="5"/>
      <c r="AC96" s="8"/>
      <c r="AD96" s="8"/>
      <c r="AE96" s="8"/>
      <c r="AF96" s="8"/>
      <c r="AI96" s="9"/>
      <c r="AN96" s="9"/>
      <c r="AP96" s="8"/>
      <c r="AQ96" s="10"/>
      <c r="AR96" s="10"/>
      <c r="AS96" s="8"/>
      <c r="AT96" s="8"/>
      <c r="AU96" s="8"/>
    </row>
    <row r="97" spans="17:47" x14ac:dyDescent="0.4">
      <c r="Q97" s="4"/>
      <c r="R97" s="4"/>
      <c r="S97" s="4"/>
      <c r="T97" s="5"/>
      <c r="U97" s="8"/>
      <c r="V97" s="8"/>
      <c r="X97" s="5"/>
      <c r="AB97" s="5"/>
      <c r="AC97" s="8"/>
      <c r="AD97" s="8"/>
      <c r="AE97" s="8"/>
      <c r="AF97" s="8"/>
      <c r="AI97" s="9"/>
      <c r="AN97" s="9"/>
      <c r="AP97" s="8"/>
      <c r="AQ97" s="10"/>
      <c r="AR97" s="10"/>
      <c r="AS97" s="8"/>
      <c r="AT97" s="8"/>
      <c r="AU97" s="8"/>
    </row>
    <row r="98" spans="17:47" x14ac:dyDescent="0.4">
      <c r="Q98" s="4"/>
      <c r="R98" s="4"/>
      <c r="S98" s="4"/>
      <c r="T98" s="5"/>
      <c r="U98" s="8"/>
      <c r="V98" s="8"/>
      <c r="X98" s="5"/>
      <c r="AB98" s="5"/>
      <c r="AC98" s="8"/>
      <c r="AD98" s="8"/>
      <c r="AE98" s="8"/>
      <c r="AF98" s="8"/>
      <c r="AI98" s="9"/>
      <c r="AN98" s="9"/>
      <c r="AP98" s="8"/>
      <c r="AQ98" s="10"/>
      <c r="AR98" s="10"/>
      <c r="AS98" s="8"/>
      <c r="AT98" s="8"/>
      <c r="AU98" s="8"/>
    </row>
    <row r="99" spans="17:47" x14ac:dyDescent="0.4">
      <c r="Q99" s="4"/>
      <c r="R99" s="4"/>
      <c r="S99" s="4"/>
      <c r="T99" s="5"/>
      <c r="U99" s="8"/>
      <c r="V99" s="8"/>
      <c r="X99" s="5"/>
      <c r="AB99" s="5"/>
      <c r="AC99" s="8"/>
      <c r="AD99" s="8"/>
      <c r="AE99" s="8"/>
      <c r="AF99" s="8"/>
      <c r="AI99" s="9"/>
      <c r="AN99" s="9"/>
      <c r="AP99" s="8"/>
      <c r="AQ99" s="10"/>
      <c r="AR99" s="10"/>
      <c r="AS99" s="8"/>
      <c r="AT99" s="8"/>
      <c r="AU99" s="8"/>
    </row>
    <row r="100" spans="17:47" x14ac:dyDescent="0.4">
      <c r="Q100" s="4"/>
      <c r="R100" s="4"/>
      <c r="S100" s="4"/>
      <c r="T100" s="5"/>
      <c r="U100" s="8"/>
      <c r="V100" s="8"/>
      <c r="X100" s="5"/>
      <c r="AB100" s="5"/>
      <c r="AC100" s="8"/>
      <c r="AD100" s="8"/>
      <c r="AE100" s="8"/>
      <c r="AF100" s="8"/>
      <c r="AI100" s="9"/>
      <c r="AN100" s="9"/>
      <c r="AP100" s="8"/>
      <c r="AQ100" s="10"/>
      <c r="AR100" s="10"/>
      <c r="AS100" s="8"/>
      <c r="AT100" s="8"/>
      <c r="AU100" s="8"/>
    </row>
    <row r="101" spans="17:47" x14ac:dyDescent="0.4">
      <c r="T101" s="5"/>
      <c r="U101" s="8"/>
      <c r="V101" s="8"/>
      <c r="X101" s="5"/>
      <c r="AB101" s="5"/>
      <c r="AC101" s="8"/>
      <c r="AD101" s="8"/>
      <c r="AE101" s="8"/>
      <c r="AF101" s="8"/>
      <c r="AI101" s="9"/>
      <c r="AN101" s="9"/>
      <c r="AP101" s="8"/>
      <c r="AQ101" s="10"/>
      <c r="AR101" s="10"/>
      <c r="AS101" s="8"/>
      <c r="AT101" s="8"/>
      <c r="AU101" s="8"/>
    </row>
    <row r="102" spans="17:47" x14ac:dyDescent="0.4">
      <c r="T102" s="5"/>
      <c r="U102" s="8"/>
      <c r="V102" s="8"/>
      <c r="X102" s="5"/>
      <c r="AB102" s="5"/>
      <c r="AC102" s="8"/>
      <c r="AD102" s="8"/>
      <c r="AE102" s="8"/>
      <c r="AF102" s="8"/>
      <c r="AI102" s="9"/>
      <c r="AN102" s="9"/>
      <c r="AP102" s="8"/>
      <c r="AQ102" s="10"/>
      <c r="AR102" s="10"/>
      <c r="AS102" s="8"/>
      <c r="AT102" s="8"/>
      <c r="AU102" s="8"/>
    </row>
    <row r="103" spans="17:47" x14ac:dyDescent="0.4">
      <c r="T103" s="5"/>
      <c r="U103" s="8"/>
      <c r="V103" s="8"/>
      <c r="X103" s="5"/>
      <c r="AB103" s="5"/>
      <c r="AC103" s="8"/>
      <c r="AD103" s="8"/>
      <c r="AE103" s="8"/>
      <c r="AF103" s="8"/>
      <c r="AI103" s="9"/>
      <c r="AN103" s="9"/>
      <c r="AP103" s="8"/>
      <c r="AQ103" s="10"/>
      <c r="AR103" s="10"/>
      <c r="AS103" s="8"/>
      <c r="AT103" s="8"/>
      <c r="AU103" s="8"/>
    </row>
    <row r="104" spans="17:47" x14ac:dyDescent="0.4">
      <c r="T104" s="5"/>
      <c r="U104" s="8"/>
      <c r="V104" s="8"/>
      <c r="X104" s="5"/>
      <c r="AB104" s="5"/>
      <c r="AC104" s="8"/>
      <c r="AD104" s="8"/>
      <c r="AE104" s="8"/>
      <c r="AF104" s="8"/>
      <c r="AI104" s="9"/>
      <c r="AN104" s="9"/>
      <c r="AP104" s="8"/>
      <c r="AQ104" s="10"/>
      <c r="AR104" s="10"/>
      <c r="AS104" s="8"/>
      <c r="AT104" s="8"/>
      <c r="AU104" s="8"/>
    </row>
    <row r="105" spans="17:47" x14ac:dyDescent="0.4">
      <c r="T105" s="5"/>
      <c r="U105" s="8"/>
      <c r="V105" s="8"/>
      <c r="X105" s="5"/>
      <c r="AB105" s="5"/>
      <c r="AC105" s="8"/>
      <c r="AD105" s="8"/>
      <c r="AE105" s="8"/>
      <c r="AF105" s="8"/>
      <c r="AI105" s="9"/>
      <c r="AN105" s="9"/>
      <c r="AP105" s="8"/>
      <c r="AQ105" s="10"/>
      <c r="AR105" s="10"/>
      <c r="AS105" s="8"/>
      <c r="AT105" s="8"/>
      <c r="AU105" s="8"/>
    </row>
    <row r="106" spans="17:47" x14ac:dyDescent="0.4">
      <c r="T106" s="5"/>
      <c r="U106" s="8"/>
      <c r="V106" s="8"/>
      <c r="X106" s="5"/>
      <c r="AB106" s="5"/>
      <c r="AC106" s="8"/>
      <c r="AD106" s="8"/>
      <c r="AE106" s="8"/>
      <c r="AF106" s="8"/>
      <c r="AI106" s="9"/>
      <c r="AN106" s="9"/>
      <c r="AP106" s="8"/>
      <c r="AQ106" s="10"/>
      <c r="AR106" s="10"/>
      <c r="AS106" s="8"/>
      <c r="AT106" s="8"/>
      <c r="AU106" s="8"/>
    </row>
    <row r="107" spans="17:47" x14ac:dyDescent="0.4">
      <c r="T107" s="5"/>
      <c r="U107" s="8"/>
      <c r="V107" s="8"/>
      <c r="X107" s="5"/>
      <c r="AB107" s="5"/>
      <c r="AC107" s="8"/>
      <c r="AD107" s="8"/>
      <c r="AE107" s="8"/>
      <c r="AF107" s="8"/>
      <c r="AI107" s="9"/>
      <c r="AN107" s="9"/>
      <c r="AP107" s="8"/>
      <c r="AQ107" s="10"/>
      <c r="AR107" s="10"/>
      <c r="AS107" s="8"/>
      <c r="AT107" s="8"/>
      <c r="AU107" s="8"/>
    </row>
    <row r="108" spans="17:47" x14ac:dyDescent="0.4">
      <c r="T108" s="5"/>
      <c r="U108" s="8"/>
      <c r="V108" s="8"/>
      <c r="X108" s="5"/>
      <c r="AB108" s="5"/>
      <c r="AC108" s="8"/>
      <c r="AD108" s="8"/>
      <c r="AE108" s="8"/>
      <c r="AF108" s="8"/>
      <c r="AI108" s="9"/>
      <c r="AN108" s="9"/>
      <c r="AP108" s="8"/>
      <c r="AQ108" s="10"/>
      <c r="AR108" s="10"/>
      <c r="AS108" s="8"/>
      <c r="AT108" s="8"/>
      <c r="AU108" s="8"/>
    </row>
    <row r="109" spans="17:47" x14ac:dyDescent="0.4">
      <c r="T109" s="5"/>
      <c r="U109" s="8"/>
      <c r="V109" s="8"/>
      <c r="X109" s="5"/>
      <c r="AB109" s="5"/>
      <c r="AC109" s="8"/>
      <c r="AD109" s="8"/>
      <c r="AE109" s="8"/>
      <c r="AF109" s="8"/>
      <c r="AI109" s="9"/>
      <c r="AN109" s="9"/>
      <c r="AP109" s="8"/>
      <c r="AQ109" s="10"/>
      <c r="AR109" s="10"/>
      <c r="AS109" s="8"/>
      <c r="AT109" s="8"/>
      <c r="AU109" s="8"/>
    </row>
    <row r="110" spans="17:47" x14ac:dyDescent="0.4">
      <c r="T110" s="5"/>
      <c r="U110" s="8"/>
      <c r="V110" s="8"/>
      <c r="X110" s="5"/>
      <c r="AB110" s="5"/>
      <c r="AC110" s="8"/>
      <c r="AD110" s="8"/>
      <c r="AE110" s="8"/>
      <c r="AF110" s="8"/>
      <c r="AI110" s="9"/>
      <c r="AN110" s="9"/>
      <c r="AP110" s="8"/>
      <c r="AQ110" s="10"/>
      <c r="AR110" s="10"/>
      <c r="AS110" s="8"/>
      <c r="AT110" s="8"/>
      <c r="AU110" s="8"/>
    </row>
    <row r="111" spans="17:47" x14ac:dyDescent="0.4">
      <c r="T111" s="5"/>
      <c r="U111" s="8"/>
      <c r="V111" s="8"/>
      <c r="X111" s="5"/>
      <c r="AB111" s="5"/>
      <c r="AC111" s="8"/>
      <c r="AD111" s="8"/>
      <c r="AE111" s="8"/>
      <c r="AF111" s="8"/>
      <c r="AI111" s="9"/>
      <c r="AN111" s="9"/>
      <c r="AP111" s="8"/>
      <c r="AQ111" s="10"/>
      <c r="AR111" s="10"/>
      <c r="AS111" s="8"/>
      <c r="AT111" s="8"/>
      <c r="AU111" s="8"/>
    </row>
    <row r="112" spans="17:47" x14ac:dyDescent="0.4">
      <c r="T112" s="5"/>
      <c r="U112" s="8"/>
      <c r="V112" s="8"/>
      <c r="X112" s="5"/>
      <c r="AB112" s="5"/>
      <c r="AC112" s="8"/>
      <c r="AD112" s="8"/>
      <c r="AE112" s="8"/>
      <c r="AF112" s="8"/>
      <c r="AI112" s="9"/>
      <c r="AN112" s="9"/>
      <c r="AP112" s="8"/>
      <c r="AQ112" s="10"/>
      <c r="AR112" s="10"/>
      <c r="AS112" s="8"/>
      <c r="AT112" s="8"/>
      <c r="AU112" s="8"/>
    </row>
    <row r="113" spans="20:47" x14ac:dyDescent="0.4">
      <c r="T113" s="5"/>
      <c r="U113" s="8"/>
      <c r="V113" s="8"/>
      <c r="X113" s="5"/>
      <c r="AB113" s="5"/>
      <c r="AC113" s="8"/>
      <c r="AD113" s="8"/>
      <c r="AE113" s="8"/>
      <c r="AF113" s="8"/>
      <c r="AI113" s="9"/>
      <c r="AN113" s="9"/>
      <c r="AP113" s="8"/>
      <c r="AQ113" s="10"/>
      <c r="AR113" s="10"/>
      <c r="AS113" s="8"/>
      <c r="AT113" s="8"/>
      <c r="AU113" s="8"/>
    </row>
    <row r="114" spans="20:47" x14ac:dyDescent="0.4">
      <c r="T114" s="5"/>
      <c r="U114" s="8"/>
      <c r="V114" s="8"/>
      <c r="X114" s="5"/>
      <c r="AB114" s="5"/>
      <c r="AC114" s="8"/>
      <c r="AD114" s="8"/>
      <c r="AE114" s="8"/>
      <c r="AF114" s="8"/>
      <c r="AI114" s="9"/>
      <c r="AN114" s="9"/>
      <c r="AP114" s="8"/>
      <c r="AQ114" s="10"/>
      <c r="AR114" s="10"/>
      <c r="AS114" s="8"/>
      <c r="AT114" s="8"/>
      <c r="AU114" s="8"/>
    </row>
    <row r="115" spans="20:47" x14ac:dyDescent="0.4">
      <c r="T115" s="5"/>
      <c r="U115" s="8"/>
      <c r="V115" s="8"/>
      <c r="X115" s="5"/>
      <c r="AB115" s="5"/>
      <c r="AC115" s="8"/>
      <c r="AD115" s="8"/>
      <c r="AE115" s="8"/>
      <c r="AF115" s="8"/>
      <c r="AI115" s="9"/>
      <c r="AN115" s="9"/>
      <c r="AP115" s="8"/>
      <c r="AQ115" s="10"/>
      <c r="AR115" s="10"/>
      <c r="AS115" s="8"/>
      <c r="AT115" s="8"/>
      <c r="AU115" s="8"/>
    </row>
    <row r="116" spans="20:47" x14ac:dyDescent="0.4">
      <c r="T116" s="5"/>
      <c r="U116" s="8"/>
      <c r="V116" s="8"/>
      <c r="X116" s="5"/>
      <c r="AB116" s="5"/>
      <c r="AC116" s="8"/>
      <c r="AD116" s="8"/>
      <c r="AE116" s="8"/>
      <c r="AF116" s="8"/>
      <c r="AI116" s="9"/>
      <c r="AN116" s="9"/>
      <c r="AP116" s="8"/>
      <c r="AQ116" s="10"/>
      <c r="AR116" s="10"/>
      <c r="AS116" s="8"/>
      <c r="AT116" s="8"/>
      <c r="AU116" s="8"/>
    </row>
    <row r="117" spans="20:47" x14ac:dyDescent="0.4">
      <c r="T117" s="5"/>
      <c r="U117" s="8"/>
      <c r="V117" s="8"/>
      <c r="X117" s="5"/>
      <c r="AB117" s="5"/>
      <c r="AC117" s="8"/>
      <c r="AD117" s="8"/>
      <c r="AE117" s="8"/>
      <c r="AF117" s="8"/>
      <c r="AI117" s="9"/>
      <c r="AN117" s="9"/>
      <c r="AP117" s="8"/>
      <c r="AQ117" s="10"/>
      <c r="AR117" s="10"/>
      <c r="AS117" s="8"/>
      <c r="AT117" s="8"/>
      <c r="AU117" s="8"/>
    </row>
    <row r="118" spans="20:47" x14ac:dyDescent="0.4">
      <c r="T118" s="5"/>
      <c r="U118" s="8"/>
      <c r="V118" s="8"/>
      <c r="X118" s="5"/>
      <c r="AB118" s="5"/>
      <c r="AC118" s="8"/>
      <c r="AD118" s="8"/>
      <c r="AE118" s="8"/>
      <c r="AF118" s="8"/>
      <c r="AI118" s="9"/>
      <c r="AN118" s="9"/>
      <c r="AP118" s="8"/>
      <c r="AQ118" s="10"/>
      <c r="AR118" s="10"/>
      <c r="AS118" s="8"/>
      <c r="AT118" s="8"/>
      <c r="AU118" s="8"/>
    </row>
    <row r="119" spans="20:47" x14ac:dyDescent="0.4">
      <c r="T119" s="5"/>
      <c r="U119" s="8"/>
      <c r="V119" s="8"/>
      <c r="X119" s="5"/>
      <c r="AB119" s="5"/>
      <c r="AC119" s="8"/>
      <c r="AD119" s="8"/>
      <c r="AE119" s="8"/>
      <c r="AF119" s="8"/>
      <c r="AI119" s="9"/>
      <c r="AN119" s="9"/>
      <c r="AP119" s="8"/>
      <c r="AQ119" s="10"/>
      <c r="AR119" s="10"/>
      <c r="AS119" s="8"/>
      <c r="AT119" s="8"/>
      <c r="AU119" s="8"/>
    </row>
    <row r="120" spans="20:47" x14ac:dyDescent="0.4">
      <c r="T120" s="5"/>
      <c r="U120" s="8"/>
      <c r="V120" s="8"/>
      <c r="X120" s="5"/>
      <c r="AB120" s="5"/>
      <c r="AC120" s="8"/>
      <c r="AD120" s="8"/>
      <c r="AE120" s="8"/>
      <c r="AF120" s="8"/>
      <c r="AI120" s="9"/>
      <c r="AN120" s="9"/>
      <c r="AP120" s="8"/>
      <c r="AQ120" s="10"/>
      <c r="AR120" s="10"/>
      <c r="AS120" s="8"/>
      <c r="AT120" s="8"/>
      <c r="AU120" s="8"/>
    </row>
    <row r="121" spans="20:47" x14ac:dyDescent="0.4">
      <c r="T121" s="5"/>
      <c r="U121" s="8"/>
      <c r="V121" s="8"/>
      <c r="X121" s="5"/>
      <c r="AB121" s="5"/>
      <c r="AC121" s="8"/>
      <c r="AD121" s="8"/>
      <c r="AE121" s="8"/>
      <c r="AF121" s="8"/>
      <c r="AI121" s="9"/>
      <c r="AN121" s="9"/>
      <c r="AP121" s="8"/>
      <c r="AQ121" s="10"/>
      <c r="AR121" s="10"/>
      <c r="AS121" s="8"/>
      <c r="AT121" s="8"/>
      <c r="AU121" s="8"/>
    </row>
    <row r="122" spans="20:47" x14ac:dyDescent="0.4">
      <c r="T122" s="5"/>
      <c r="U122" s="8"/>
      <c r="V122" s="8"/>
      <c r="X122" s="5"/>
      <c r="AB122" s="5"/>
      <c r="AC122" s="8"/>
      <c r="AD122" s="8"/>
      <c r="AE122" s="8"/>
      <c r="AF122" s="8"/>
      <c r="AI122" s="9"/>
      <c r="AN122" s="9"/>
      <c r="AP122" s="8"/>
      <c r="AQ122" s="10"/>
      <c r="AR122" s="10"/>
      <c r="AS122" s="8"/>
      <c r="AT122" s="8"/>
      <c r="AU122" s="8"/>
    </row>
    <row r="123" spans="20:47" x14ac:dyDescent="0.4">
      <c r="T123" s="5"/>
      <c r="U123" s="8"/>
      <c r="V123" s="8"/>
      <c r="X123" s="5"/>
      <c r="AB123" s="5"/>
      <c r="AC123" s="8"/>
      <c r="AD123" s="8"/>
      <c r="AE123" s="8"/>
      <c r="AF123" s="8"/>
      <c r="AI123" s="9"/>
      <c r="AN123" s="9"/>
      <c r="AP123" s="8"/>
      <c r="AQ123" s="10"/>
      <c r="AR123" s="10"/>
      <c r="AS123" s="8"/>
      <c r="AT123" s="8"/>
      <c r="AU123" s="8"/>
    </row>
    <row r="124" spans="20:47" x14ac:dyDescent="0.4">
      <c r="T124" s="5"/>
      <c r="U124" s="8"/>
      <c r="V124" s="8"/>
      <c r="X124" s="5"/>
      <c r="AB124" s="5"/>
      <c r="AC124" s="8"/>
      <c r="AD124" s="8"/>
      <c r="AE124" s="8"/>
      <c r="AF124" s="8"/>
      <c r="AI124" s="9"/>
      <c r="AN124" s="9"/>
      <c r="AP124" s="8"/>
      <c r="AQ124" s="10"/>
      <c r="AR124" s="10"/>
      <c r="AS124" s="8"/>
      <c r="AT124" s="8"/>
      <c r="AU124" s="8"/>
    </row>
    <row r="125" spans="20:47" x14ac:dyDescent="0.4">
      <c r="T125" s="5"/>
      <c r="U125" s="8"/>
      <c r="V125" s="8"/>
      <c r="X125" s="5"/>
      <c r="AB125" s="5"/>
      <c r="AC125" s="8"/>
      <c r="AD125" s="8"/>
      <c r="AE125" s="8"/>
      <c r="AF125" s="8"/>
      <c r="AI125" s="9"/>
      <c r="AN125" s="9"/>
      <c r="AP125" s="8"/>
      <c r="AQ125" s="10"/>
      <c r="AR125" s="10"/>
      <c r="AS125" s="8"/>
      <c r="AT125" s="8"/>
      <c r="AU125" s="8"/>
    </row>
    <row r="126" spans="20:47" x14ac:dyDescent="0.4">
      <c r="T126" s="5"/>
      <c r="U126" s="8"/>
      <c r="V126" s="8"/>
      <c r="X126" s="5"/>
      <c r="AB126" s="5"/>
      <c r="AC126" s="8"/>
      <c r="AD126" s="8"/>
      <c r="AE126" s="8"/>
      <c r="AF126" s="8"/>
      <c r="AI126" s="9"/>
      <c r="AN126" s="9"/>
      <c r="AP126" s="8"/>
      <c r="AQ126" s="10"/>
      <c r="AR126" s="10"/>
      <c r="AS126" s="8"/>
      <c r="AT126" s="8"/>
      <c r="AU126" s="8"/>
    </row>
    <row r="127" spans="20:47" x14ac:dyDescent="0.4">
      <c r="T127" s="5"/>
      <c r="U127" s="8"/>
      <c r="V127" s="8"/>
      <c r="X127" s="5"/>
      <c r="AB127" s="5"/>
      <c r="AC127" s="8"/>
      <c r="AD127" s="8"/>
      <c r="AE127" s="8"/>
      <c r="AF127" s="8"/>
      <c r="AI127" s="9"/>
      <c r="AN127" s="9"/>
      <c r="AP127" s="8"/>
      <c r="AQ127" s="10"/>
      <c r="AR127" s="10"/>
      <c r="AS127" s="8"/>
      <c r="AT127" s="8"/>
      <c r="AU127" s="8"/>
    </row>
    <row r="128" spans="20:47" x14ac:dyDescent="0.4">
      <c r="T128" s="5"/>
      <c r="U128" s="8"/>
      <c r="V128" s="8"/>
      <c r="X128" s="5"/>
      <c r="AB128" s="5"/>
      <c r="AC128" s="8"/>
      <c r="AD128" s="8"/>
      <c r="AE128" s="8"/>
      <c r="AF128" s="8"/>
      <c r="AI128" s="9"/>
      <c r="AN128" s="9"/>
      <c r="AP128" s="8"/>
      <c r="AQ128" s="10"/>
      <c r="AR128" s="10"/>
      <c r="AS128" s="8"/>
      <c r="AT128" s="8"/>
      <c r="AU128" s="8"/>
    </row>
    <row r="129" spans="20:47" x14ac:dyDescent="0.4">
      <c r="T129" s="5"/>
      <c r="U129" s="8"/>
      <c r="V129" s="8"/>
      <c r="X129" s="5"/>
      <c r="AB129" s="5"/>
      <c r="AC129" s="8"/>
      <c r="AD129" s="8"/>
      <c r="AE129" s="8"/>
      <c r="AF129" s="8"/>
      <c r="AI129" s="9"/>
      <c r="AN129" s="9"/>
      <c r="AP129" s="8"/>
      <c r="AQ129" s="10"/>
      <c r="AR129" s="10"/>
      <c r="AS129" s="8"/>
      <c r="AT129" s="8"/>
      <c r="AU129" s="8"/>
    </row>
    <row r="130" spans="20:47" x14ac:dyDescent="0.4">
      <c r="T130" s="5"/>
      <c r="U130" s="8"/>
      <c r="V130" s="8"/>
      <c r="X130" s="5"/>
      <c r="AB130" s="5"/>
      <c r="AC130" s="8"/>
      <c r="AD130" s="8"/>
      <c r="AE130" s="8"/>
      <c r="AF130" s="8"/>
      <c r="AI130" s="9"/>
      <c r="AN130" s="9"/>
      <c r="AP130" s="8"/>
      <c r="AQ130" s="10"/>
      <c r="AR130" s="10"/>
      <c r="AS130" s="8"/>
      <c r="AT130" s="8"/>
      <c r="AU130" s="8"/>
    </row>
    <row r="131" spans="20:47" x14ac:dyDescent="0.4">
      <c r="T131" s="5"/>
      <c r="U131" s="8"/>
      <c r="V131" s="8"/>
      <c r="X131" s="5"/>
      <c r="AB131" s="5"/>
      <c r="AC131" s="8"/>
      <c r="AD131" s="8"/>
      <c r="AE131" s="8"/>
      <c r="AF131" s="8"/>
      <c r="AI131" s="9"/>
      <c r="AN131" s="9"/>
      <c r="AP131" s="8"/>
      <c r="AQ131" s="10"/>
      <c r="AR131" s="10"/>
      <c r="AS131" s="8"/>
      <c r="AT131" s="8"/>
      <c r="AU131" s="8"/>
    </row>
    <row r="132" spans="20:47" x14ac:dyDescent="0.4">
      <c r="T132" s="5"/>
      <c r="U132" s="8"/>
      <c r="V132" s="8"/>
      <c r="X132" s="5"/>
      <c r="AB132" s="5"/>
      <c r="AC132" s="8"/>
      <c r="AD132" s="8"/>
      <c r="AE132" s="8"/>
      <c r="AF132" s="8"/>
      <c r="AI132" s="9"/>
      <c r="AN132" s="9"/>
      <c r="AP132" s="8"/>
      <c r="AQ132" s="10"/>
      <c r="AR132" s="10"/>
      <c r="AS132" s="8"/>
      <c r="AT132" s="8"/>
      <c r="AU132" s="8"/>
    </row>
    <row r="133" spans="20:47" x14ac:dyDescent="0.4">
      <c r="T133" s="5"/>
      <c r="U133" s="8"/>
      <c r="V133" s="8"/>
      <c r="X133" s="5"/>
      <c r="AB133" s="5"/>
      <c r="AC133" s="8"/>
      <c r="AD133" s="8"/>
      <c r="AE133" s="8"/>
      <c r="AF133" s="8"/>
      <c r="AI133" s="9"/>
      <c r="AN133" s="9"/>
      <c r="AP133" s="8"/>
      <c r="AQ133" s="10"/>
      <c r="AR133" s="10"/>
      <c r="AS133" s="8"/>
      <c r="AT133" s="8"/>
      <c r="AU133" s="8"/>
    </row>
    <row r="134" spans="20:47" x14ac:dyDescent="0.4">
      <c r="T134" s="5"/>
      <c r="U134" s="8"/>
      <c r="V134" s="8"/>
      <c r="X134" s="5"/>
      <c r="AB134" s="5"/>
      <c r="AC134" s="8"/>
      <c r="AD134" s="8"/>
      <c r="AE134" s="8"/>
      <c r="AF134" s="8"/>
      <c r="AI134" s="9"/>
      <c r="AN134" s="9"/>
      <c r="AP134" s="8"/>
      <c r="AQ134" s="10"/>
      <c r="AR134" s="10"/>
      <c r="AS134" s="8"/>
      <c r="AT134" s="8"/>
      <c r="AU134" s="8"/>
    </row>
    <row r="135" spans="20:47" x14ac:dyDescent="0.4">
      <c r="T135" s="5"/>
      <c r="U135" s="8"/>
      <c r="V135" s="8"/>
      <c r="X135" s="5"/>
      <c r="AB135" s="5"/>
      <c r="AC135" s="8"/>
      <c r="AD135" s="8"/>
      <c r="AE135" s="8"/>
      <c r="AF135" s="8"/>
      <c r="AI135" s="9"/>
      <c r="AN135" s="9"/>
      <c r="AP135" s="8"/>
      <c r="AQ135" s="10"/>
      <c r="AR135" s="10"/>
      <c r="AS135" s="8"/>
      <c r="AT135" s="8"/>
      <c r="AU135" s="8"/>
    </row>
    <row r="136" spans="20:47" x14ac:dyDescent="0.4">
      <c r="T136" s="5"/>
      <c r="U136" s="8"/>
      <c r="V136" s="8"/>
      <c r="X136" s="5"/>
      <c r="AB136" s="5"/>
      <c r="AC136" s="8"/>
      <c r="AD136" s="8"/>
      <c r="AE136" s="8"/>
      <c r="AF136" s="8"/>
      <c r="AI136" s="9"/>
      <c r="AN136" s="9"/>
      <c r="AP136" s="8"/>
      <c r="AQ136" s="10"/>
      <c r="AR136" s="10"/>
      <c r="AS136" s="8"/>
      <c r="AT136" s="8"/>
      <c r="AU136" s="8"/>
    </row>
    <row r="137" spans="20:47" x14ac:dyDescent="0.4">
      <c r="T137" s="5"/>
      <c r="U137" s="8"/>
      <c r="V137" s="8"/>
      <c r="X137" s="5"/>
      <c r="AB137" s="5"/>
      <c r="AC137" s="8"/>
      <c r="AD137" s="8"/>
      <c r="AE137" s="8"/>
      <c r="AF137" s="8"/>
      <c r="AI137" s="9"/>
      <c r="AN137" s="9"/>
      <c r="AP137" s="8"/>
      <c r="AQ137" s="10"/>
      <c r="AR137" s="10"/>
      <c r="AS137" s="8"/>
      <c r="AT137" s="8"/>
      <c r="AU137" s="8"/>
    </row>
    <row r="138" spans="20:47" x14ac:dyDescent="0.4">
      <c r="T138" s="5"/>
      <c r="U138" s="8"/>
      <c r="V138" s="8"/>
      <c r="X138" s="5"/>
      <c r="AB138" s="5"/>
      <c r="AC138" s="8"/>
      <c r="AD138" s="8"/>
      <c r="AE138" s="8"/>
      <c r="AF138" s="8"/>
      <c r="AI138" s="9"/>
      <c r="AN138" s="9"/>
      <c r="AP138" s="8"/>
      <c r="AQ138" s="10"/>
      <c r="AR138" s="10"/>
      <c r="AS138" s="8"/>
      <c r="AT138" s="8"/>
      <c r="AU138" s="8"/>
    </row>
    <row r="139" spans="20:47" x14ac:dyDescent="0.4">
      <c r="T139" s="5"/>
      <c r="U139" s="8"/>
      <c r="V139" s="8"/>
      <c r="X139" s="5"/>
      <c r="AB139" s="5"/>
      <c r="AC139" s="8"/>
      <c r="AD139" s="8"/>
      <c r="AE139" s="8"/>
      <c r="AF139" s="8"/>
      <c r="AI139" s="9"/>
      <c r="AN139" s="9"/>
      <c r="AP139" s="8"/>
      <c r="AQ139" s="10"/>
      <c r="AR139" s="10"/>
      <c r="AS139" s="8"/>
      <c r="AT139" s="8"/>
      <c r="AU139" s="8"/>
    </row>
    <row r="140" spans="20:47" x14ac:dyDescent="0.4">
      <c r="T140" s="5"/>
      <c r="U140" s="8"/>
      <c r="V140" s="8"/>
      <c r="X140" s="5"/>
      <c r="AB140" s="5"/>
      <c r="AC140" s="8"/>
      <c r="AD140" s="8"/>
      <c r="AE140" s="8"/>
      <c r="AF140" s="8"/>
      <c r="AI140" s="9"/>
      <c r="AN140" s="9"/>
      <c r="AP140" s="8"/>
      <c r="AQ140" s="10"/>
      <c r="AR140" s="10"/>
      <c r="AS140" s="8"/>
      <c r="AT140" s="8"/>
      <c r="AU140" s="8"/>
    </row>
    <row r="141" spans="20:47" x14ac:dyDescent="0.4">
      <c r="T141" s="5"/>
      <c r="U141" s="8"/>
      <c r="V141" s="8"/>
      <c r="X141" s="5"/>
      <c r="AB141" s="5"/>
      <c r="AC141" s="8"/>
      <c r="AD141" s="8"/>
      <c r="AE141" s="8"/>
      <c r="AF141" s="8"/>
      <c r="AI141" s="9"/>
      <c r="AN141" s="9"/>
      <c r="AP141" s="8"/>
      <c r="AQ141" s="10"/>
      <c r="AR141" s="10"/>
      <c r="AS141" s="8"/>
      <c r="AT141" s="8"/>
      <c r="AU141" s="8"/>
    </row>
    <row r="142" spans="20:47" x14ac:dyDescent="0.4">
      <c r="T142" s="5"/>
      <c r="U142" s="8"/>
      <c r="V142" s="8"/>
      <c r="X142" s="5"/>
      <c r="AB142" s="5"/>
      <c r="AC142" s="8"/>
      <c r="AD142" s="8"/>
      <c r="AE142" s="8"/>
      <c r="AF142" s="8"/>
      <c r="AI142" s="9"/>
      <c r="AN142" s="9"/>
      <c r="AP142" s="8"/>
      <c r="AQ142" s="10"/>
      <c r="AR142" s="10"/>
      <c r="AS142" s="8"/>
      <c r="AT142" s="8"/>
      <c r="AU142" s="8"/>
    </row>
    <row r="143" spans="20:47" x14ac:dyDescent="0.4">
      <c r="T143" s="5"/>
      <c r="U143" s="8"/>
      <c r="V143" s="8"/>
      <c r="X143" s="5"/>
      <c r="AB143" s="5"/>
      <c r="AC143" s="8"/>
      <c r="AD143" s="8"/>
      <c r="AE143" s="8"/>
      <c r="AF143" s="8"/>
      <c r="AI143" s="9"/>
      <c r="AN143" s="9"/>
      <c r="AP143" s="8"/>
      <c r="AQ143" s="10"/>
      <c r="AR143" s="10"/>
      <c r="AS143" s="8"/>
      <c r="AT143" s="8"/>
      <c r="AU143" s="8"/>
    </row>
    <row r="144" spans="20:47" x14ac:dyDescent="0.4">
      <c r="T144" s="5"/>
      <c r="U144" s="8"/>
      <c r="V144" s="8"/>
      <c r="X144" s="5"/>
      <c r="AB144" s="5"/>
      <c r="AC144" s="8"/>
      <c r="AD144" s="8"/>
      <c r="AE144" s="8"/>
      <c r="AF144" s="8"/>
      <c r="AI144" s="9"/>
      <c r="AN144" s="9"/>
      <c r="AP144" s="8"/>
      <c r="AQ144" s="10"/>
      <c r="AR144" s="10"/>
      <c r="AS144" s="8"/>
      <c r="AT144" s="8"/>
      <c r="AU144" s="8"/>
    </row>
    <row r="145" spans="20:47" x14ac:dyDescent="0.4">
      <c r="T145" s="5"/>
      <c r="U145" s="8"/>
      <c r="V145" s="8"/>
      <c r="X145" s="5"/>
      <c r="AB145" s="5"/>
      <c r="AC145" s="8"/>
      <c r="AD145" s="8"/>
      <c r="AE145" s="8"/>
      <c r="AF145" s="8"/>
      <c r="AI145" s="9"/>
      <c r="AN145" s="9"/>
      <c r="AP145" s="8"/>
      <c r="AQ145" s="10"/>
      <c r="AR145" s="10"/>
      <c r="AS145" s="8"/>
      <c r="AT145" s="8"/>
      <c r="AU145" s="8"/>
    </row>
    <row r="146" spans="20:47" x14ac:dyDescent="0.4">
      <c r="T146" s="5"/>
      <c r="U146" s="8"/>
      <c r="V146" s="8"/>
      <c r="X146" s="5"/>
      <c r="AB146" s="5"/>
      <c r="AC146" s="8"/>
      <c r="AD146" s="8"/>
      <c r="AE146" s="8"/>
      <c r="AF146" s="8"/>
      <c r="AI146" s="9"/>
      <c r="AN146" s="9"/>
      <c r="AP146" s="8"/>
      <c r="AQ146" s="10"/>
      <c r="AR146" s="10"/>
      <c r="AS146" s="8"/>
      <c r="AT146" s="8"/>
      <c r="AU146" s="8"/>
    </row>
    <row r="147" spans="20:47" x14ac:dyDescent="0.4">
      <c r="T147" s="5"/>
      <c r="U147" s="8"/>
      <c r="V147" s="8"/>
      <c r="X147" s="5"/>
      <c r="AB147" s="5"/>
      <c r="AC147" s="8"/>
      <c r="AD147" s="8"/>
      <c r="AE147" s="8"/>
      <c r="AF147" s="8"/>
      <c r="AI147" s="9"/>
      <c r="AN147" s="9"/>
      <c r="AP147" s="8"/>
      <c r="AQ147" s="10"/>
      <c r="AR147" s="10"/>
      <c r="AS147" s="8"/>
      <c r="AT147" s="8"/>
      <c r="AU147" s="8"/>
    </row>
    <row r="148" spans="20:47" x14ac:dyDescent="0.4">
      <c r="T148" s="5"/>
      <c r="U148" s="8"/>
      <c r="V148" s="8"/>
      <c r="X148" s="5"/>
      <c r="AB148" s="5"/>
      <c r="AC148" s="8"/>
      <c r="AD148" s="8"/>
      <c r="AE148" s="8"/>
      <c r="AF148" s="8"/>
      <c r="AI148" s="9"/>
      <c r="AN148" s="9"/>
      <c r="AP148" s="8"/>
      <c r="AQ148" s="10"/>
      <c r="AR148" s="10"/>
      <c r="AS148" s="8"/>
      <c r="AT148" s="8"/>
      <c r="AU148" s="8"/>
    </row>
    <row r="149" spans="20:47" x14ac:dyDescent="0.4">
      <c r="T149" s="5"/>
      <c r="U149" s="8"/>
      <c r="V149" s="8"/>
      <c r="X149" s="5"/>
      <c r="AB149" s="5"/>
      <c r="AC149" s="8"/>
      <c r="AD149" s="8"/>
      <c r="AE149" s="8"/>
      <c r="AF149" s="8"/>
      <c r="AI149" s="9"/>
      <c r="AN149" s="9"/>
      <c r="AP149" s="8"/>
      <c r="AQ149" s="10"/>
      <c r="AR149" s="10"/>
      <c r="AS149" s="8"/>
      <c r="AT149" s="8"/>
      <c r="AU149" s="8"/>
    </row>
    <row r="150" spans="20:47" x14ac:dyDescent="0.4">
      <c r="T150" s="5"/>
      <c r="U150" s="8"/>
      <c r="V150" s="8"/>
      <c r="X150" s="5"/>
      <c r="AB150" s="5"/>
      <c r="AC150" s="8"/>
      <c r="AD150" s="8"/>
      <c r="AE150" s="8"/>
      <c r="AF150" s="8"/>
      <c r="AI150" s="9"/>
      <c r="AN150" s="9"/>
      <c r="AP150" s="8"/>
      <c r="AQ150" s="10"/>
      <c r="AR150" s="10"/>
      <c r="AS150" s="8"/>
      <c r="AT150" s="8"/>
      <c r="AU150" s="8"/>
    </row>
    <row r="151" spans="20:47" x14ac:dyDescent="0.4">
      <c r="T151" s="5"/>
      <c r="U151" s="8"/>
      <c r="V151" s="8"/>
      <c r="X151" s="5"/>
      <c r="AB151" s="5"/>
      <c r="AC151" s="8"/>
      <c r="AD151" s="8"/>
      <c r="AE151" s="8"/>
      <c r="AF151" s="8"/>
      <c r="AI151" s="9"/>
      <c r="AN151" s="9"/>
      <c r="AP151" s="8"/>
      <c r="AQ151" s="10"/>
      <c r="AR151" s="10"/>
      <c r="AS151" s="8"/>
      <c r="AT151" s="8"/>
      <c r="AU151" s="8"/>
    </row>
    <row r="152" spans="20:47" x14ac:dyDescent="0.4">
      <c r="T152" s="5"/>
      <c r="U152" s="8"/>
      <c r="V152" s="8"/>
      <c r="X152" s="5"/>
      <c r="AB152" s="5"/>
      <c r="AC152" s="8"/>
      <c r="AD152" s="8"/>
      <c r="AE152" s="8"/>
      <c r="AF152" s="8"/>
      <c r="AI152" s="9"/>
      <c r="AN152" s="9"/>
      <c r="AP152" s="8"/>
      <c r="AQ152" s="10"/>
      <c r="AR152" s="10"/>
      <c r="AS152" s="8"/>
      <c r="AT152" s="8"/>
      <c r="AU152" s="8"/>
    </row>
    <row r="153" spans="20:47" x14ac:dyDescent="0.4">
      <c r="T153" s="5"/>
      <c r="U153" s="8"/>
      <c r="V153" s="8"/>
      <c r="X153" s="5"/>
      <c r="AB153" s="5"/>
      <c r="AC153" s="8"/>
      <c r="AD153" s="8"/>
      <c r="AE153" s="8"/>
      <c r="AF153" s="8"/>
      <c r="AI153" s="9"/>
      <c r="AN153" s="9"/>
      <c r="AP153" s="8"/>
      <c r="AQ153" s="10"/>
      <c r="AR153" s="10"/>
      <c r="AS153" s="8"/>
      <c r="AT153" s="8"/>
      <c r="AU153" s="8"/>
    </row>
    <row r="154" spans="20:47" x14ac:dyDescent="0.4">
      <c r="T154" s="5"/>
      <c r="U154" s="8"/>
      <c r="V154" s="8"/>
      <c r="X154" s="5"/>
      <c r="AB154" s="5"/>
      <c r="AC154" s="8"/>
      <c r="AD154" s="8"/>
      <c r="AE154" s="8"/>
      <c r="AF154" s="8"/>
      <c r="AI154" s="9"/>
      <c r="AN154" s="9"/>
      <c r="AP154" s="8"/>
      <c r="AQ154" s="10"/>
      <c r="AR154" s="10"/>
      <c r="AS154" s="8"/>
      <c r="AT154" s="8"/>
      <c r="AU154" s="8"/>
    </row>
    <row r="155" spans="20:47" x14ac:dyDescent="0.4">
      <c r="T155" s="5"/>
      <c r="U155" s="8"/>
      <c r="V155" s="8"/>
      <c r="X155" s="5"/>
      <c r="AB155" s="5"/>
      <c r="AC155" s="8"/>
      <c r="AD155" s="8"/>
      <c r="AE155" s="8"/>
      <c r="AF155" s="8"/>
      <c r="AI155" s="9"/>
      <c r="AN155" s="9"/>
      <c r="AP155" s="8"/>
      <c r="AQ155" s="10"/>
      <c r="AR155" s="10"/>
      <c r="AS155" s="8"/>
      <c r="AT155" s="8"/>
      <c r="AU155" s="8"/>
    </row>
    <row r="156" spans="20:47" x14ac:dyDescent="0.4">
      <c r="T156" s="5"/>
      <c r="U156" s="8"/>
      <c r="V156" s="8"/>
      <c r="X156" s="5"/>
      <c r="AB156" s="5"/>
      <c r="AC156" s="8"/>
      <c r="AD156" s="8"/>
      <c r="AE156" s="8"/>
      <c r="AF156" s="8"/>
      <c r="AI156" s="9"/>
      <c r="AN156" s="9"/>
      <c r="AP156" s="8"/>
      <c r="AQ156" s="10"/>
      <c r="AR156" s="10"/>
      <c r="AS156" s="8"/>
      <c r="AT156" s="8"/>
      <c r="AU156" s="8"/>
    </row>
    <row r="157" spans="20:47" x14ac:dyDescent="0.4">
      <c r="T157" s="5"/>
      <c r="U157" s="8"/>
      <c r="V157" s="8"/>
      <c r="X157" s="5"/>
      <c r="AB157" s="5"/>
      <c r="AC157" s="8"/>
      <c r="AD157" s="8"/>
      <c r="AE157" s="8"/>
      <c r="AF157" s="8"/>
      <c r="AI157" s="9"/>
      <c r="AN157" s="9"/>
      <c r="AP157" s="8"/>
      <c r="AQ157" s="10"/>
      <c r="AR157" s="10"/>
      <c r="AS157" s="8"/>
      <c r="AT157" s="8"/>
      <c r="AU157" s="8"/>
    </row>
    <row r="158" spans="20:47" x14ac:dyDescent="0.4">
      <c r="T158" s="5"/>
      <c r="U158" s="8"/>
      <c r="V158" s="8"/>
      <c r="X158" s="5"/>
      <c r="AB158" s="5"/>
      <c r="AC158" s="8"/>
      <c r="AD158" s="8"/>
      <c r="AE158" s="8"/>
      <c r="AF158" s="8"/>
      <c r="AI158" s="9"/>
      <c r="AN158" s="9"/>
      <c r="AP158" s="8"/>
      <c r="AQ158" s="10"/>
      <c r="AR158" s="10"/>
      <c r="AS158" s="8"/>
      <c r="AT158" s="8"/>
      <c r="AU158" s="8"/>
    </row>
    <row r="159" spans="20:47" x14ac:dyDescent="0.4">
      <c r="T159" s="5"/>
      <c r="U159" s="8"/>
      <c r="V159" s="8"/>
      <c r="X159" s="5"/>
      <c r="AB159" s="5"/>
      <c r="AC159" s="8"/>
      <c r="AD159" s="8"/>
      <c r="AE159" s="8"/>
      <c r="AF159" s="8"/>
      <c r="AI159" s="9"/>
      <c r="AN159" s="9"/>
      <c r="AP159" s="8"/>
      <c r="AQ159" s="10"/>
      <c r="AR159" s="10"/>
      <c r="AS159" s="8"/>
      <c r="AT159" s="8"/>
      <c r="AU159" s="8"/>
    </row>
    <row r="160" spans="20:47" x14ac:dyDescent="0.4">
      <c r="T160" s="5"/>
      <c r="U160" s="8"/>
      <c r="V160" s="8"/>
      <c r="X160" s="5"/>
      <c r="AB160" s="5"/>
      <c r="AC160" s="8"/>
      <c r="AD160" s="8"/>
      <c r="AE160" s="8"/>
      <c r="AF160" s="8"/>
      <c r="AI160" s="9"/>
      <c r="AN160" s="9"/>
      <c r="AP160" s="8"/>
      <c r="AQ160" s="10"/>
      <c r="AR160" s="10"/>
      <c r="AS160" s="8"/>
      <c r="AT160" s="8"/>
      <c r="AU160" s="8"/>
    </row>
    <row r="161" spans="20:47" x14ac:dyDescent="0.4">
      <c r="T161" s="5"/>
      <c r="U161" s="8"/>
      <c r="V161" s="8"/>
      <c r="X161" s="5"/>
      <c r="AB161" s="5"/>
      <c r="AC161" s="8"/>
      <c r="AD161" s="8"/>
      <c r="AE161" s="8"/>
      <c r="AF161" s="8"/>
      <c r="AI161" s="9"/>
      <c r="AN161" s="9"/>
      <c r="AP161" s="8"/>
      <c r="AQ161" s="10"/>
      <c r="AR161" s="10"/>
      <c r="AS161" s="8"/>
      <c r="AT161" s="8"/>
      <c r="AU161" s="8"/>
    </row>
    <row r="162" spans="20:47" x14ac:dyDescent="0.4">
      <c r="T162" s="5"/>
      <c r="U162" s="8"/>
      <c r="V162" s="8"/>
      <c r="X162" s="5"/>
      <c r="AB162" s="5"/>
      <c r="AC162" s="8"/>
      <c r="AD162" s="8"/>
      <c r="AE162" s="8"/>
      <c r="AF162" s="8"/>
      <c r="AI162" s="9"/>
      <c r="AN162" s="9"/>
      <c r="AP162" s="8"/>
      <c r="AQ162" s="10"/>
      <c r="AR162" s="10"/>
      <c r="AS162" s="8"/>
      <c r="AT162" s="8"/>
      <c r="AU162" s="8"/>
    </row>
    <row r="163" spans="20:47" x14ac:dyDescent="0.4">
      <c r="T163" s="5"/>
      <c r="U163" s="8"/>
      <c r="V163" s="8"/>
      <c r="X163" s="5"/>
      <c r="AB163" s="5"/>
      <c r="AC163" s="8"/>
      <c r="AD163" s="8"/>
      <c r="AE163" s="8"/>
      <c r="AF163" s="8"/>
      <c r="AI163" s="9"/>
      <c r="AN163" s="9"/>
      <c r="AP163" s="8"/>
      <c r="AQ163" s="10"/>
      <c r="AR163" s="10"/>
      <c r="AS163" s="8"/>
      <c r="AT163" s="8"/>
      <c r="AU163" s="8"/>
    </row>
    <row r="164" spans="20:47" x14ac:dyDescent="0.4">
      <c r="T164" s="5"/>
      <c r="U164" s="8"/>
      <c r="V164" s="8"/>
      <c r="X164" s="5"/>
      <c r="AB164" s="5"/>
      <c r="AC164" s="8"/>
      <c r="AD164" s="8"/>
      <c r="AE164" s="8"/>
      <c r="AF164" s="8"/>
      <c r="AI164" s="9"/>
      <c r="AN164" s="9"/>
      <c r="AP164" s="8"/>
      <c r="AQ164" s="10"/>
      <c r="AR164" s="10"/>
      <c r="AS164" s="8"/>
      <c r="AT164" s="8"/>
      <c r="AU164" s="8"/>
    </row>
    <row r="165" spans="20:47" x14ac:dyDescent="0.4">
      <c r="T165" s="5"/>
      <c r="U165" s="8"/>
      <c r="V165" s="8"/>
      <c r="X165" s="5"/>
      <c r="AB165" s="5"/>
      <c r="AC165" s="8"/>
      <c r="AD165" s="8"/>
      <c r="AE165" s="8"/>
      <c r="AF165" s="8"/>
      <c r="AI165" s="9"/>
      <c r="AN165" s="9"/>
      <c r="AP165" s="8"/>
      <c r="AQ165" s="10"/>
      <c r="AR165" s="10"/>
      <c r="AS165" s="8"/>
      <c r="AT165" s="8"/>
      <c r="AU165" s="8"/>
    </row>
    <row r="166" spans="20:47" x14ac:dyDescent="0.4">
      <c r="T166" s="5"/>
      <c r="U166" s="8"/>
      <c r="V166" s="8"/>
      <c r="X166" s="5"/>
      <c r="AB166" s="5"/>
      <c r="AC166" s="8"/>
      <c r="AD166" s="8"/>
      <c r="AE166" s="8"/>
      <c r="AF166" s="8"/>
      <c r="AI166" s="9"/>
      <c r="AN166" s="9"/>
      <c r="AP166" s="8"/>
      <c r="AQ166" s="10"/>
      <c r="AR166" s="10"/>
      <c r="AS166" s="8"/>
      <c r="AT166" s="8"/>
      <c r="AU166" s="8"/>
    </row>
    <row r="167" spans="20:47" x14ac:dyDescent="0.4">
      <c r="T167" s="5"/>
      <c r="U167" s="8"/>
      <c r="V167" s="8"/>
      <c r="X167" s="5"/>
      <c r="AB167" s="5"/>
      <c r="AC167" s="8"/>
      <c r="AD167" s="8"/>
      <c r="AE167" s="8"/>
      <c r="AF167" s="8"/>
      <c r="AI167" s="9"/>
      <c r="AN167" s="9"/>
      <c r="AP167" s="8"/>
      <c r="AQ167" s="10"/>
      <c r="AR167" s="10"/>
      <c r="AS167" s="8"/>
      <c r="AT167" s="8"/>
      <c r="AU167" s="8"/>
    </row>
    <row r="168" spans="20:47" x14ac:dyDescent="0.4">
      <c r="T168" s="5"/>
      <c r="U168" s="8"/>
      <c r="V168" s="8"/>
      <c r="X168" s="5"/>
      <c r="AB168" s="5"/>
      <c r="AC168" s="8"/>
      <c r="AD168" s="8"/>
      <c r="AE168" s="8"/>
      <c r="AF168" s="8"/>
      <c r="AI168" s="9"/>
      <c r="AN168" s="9"/>
      <c r="AP168" s="8"/>
      <c r="AQ168" s="10"/>
      <c r="AR168" s="10"/>
      <c r="AS168" s="8"/>
      <c r="AT168" s="8"/>
      <c r="AU168" s="8"/>
    </row>
    <row r="169" spans="20:47" x14ac:dyDescent="0.4">
      <c r="T169" s="5"/>
      <c r="U169" s="8"/>
      <c r="V169" s="8"/>
      <c r="X169" s="5"/>
      <c r="AB169" s="5"/>
      <c r="AC169" s="8"/>
      <c r="AD169" s="8"/>
      <c r="AE169" s="8"/>
      <c r="AF169" s="8"/>
      <c r="AI169" s="9"/>
      <c r="AN169" s="9"/>
      <c r="AP169" s="8"/>
      <c r="AQ169" s="10"/>
      <c r="AR169" s="10"/>
      <c r="AS169" s="8"/>
      <c r="AT169" s="8"/>
      <c r="AU169" s="8"/>
    </row>
    <row r="170" spans="20:47" x14ac:dyDescent="0.4">
      <c r="T170" s="5"/>
      <c r="U170" s="8"/>
      <c r="V170" s="8"/>
      <c r="X170" s="5"/>
      <c r="AB170" s="5"/>
      <c r="AC170" s="8"/>
      <c r="AD170" s="8"/>
      <c r="AE170" s="8"/>
      <c r="AF170" s="8"/>
      <c r="AI170" s="9"/>
      <c r="AN170" s="9"/>
      <c r="AP170" s="8"/>
      <c r="AQ170" s="10"/>
      <c r="AR170" s="10"/>
      <c r="AS170" s="8"/>
      <c r="AT170" s="8"/>
      <c r="AU170" s="8"/>
    </row>
    <row r="171" spans="20:47" x14ac:dyDescent="0.4">
      <c r="T171" s="5"/>
      <c r="U171" s="8"/>
      <c r="V171" s="8"/>
      <c r="X171" s="5"/>
      <c r="AB171" s="5"/>
      <c r="AC171" s="8"/>
      <c r="AD171" s="8"/>
      <c r="AE171" s="8"/>
      <c r="AF171" s="8"/>
      <c r="AI171" s="9"/>
      <c r="AN171" s="9"/>
      <c r="AP171" s="8"/>
      <c r="AQ171" s="10"/>
      <c r="AR171" s="10"/>
      <c r="AS171" s="8"/>
      <c r="AT171" s="8"/>
      <c r="AU171" s="8"/>
    </row>
    <row r="172" spans="20:47" x14ac:dyDescent="0.4">
      <c r="T172" s="5"/>
      <c r="U172" s="8"/>
      <c r="V172" s="8"/>
      <c r="X172" s="5"/>
      <c r="AB172" s="5"/>
      <c r="AC172" s="8"/>
      <c r="AD172" s="8"/>
      <c r="AE172" s="8"/>
      <c r="AF172" s="8"/>
      <c r="AI172" s="9"/>
      <c r="AN172" s="9"/>
      <c r="AP172" s="8"/>
      <c r="AQ172" s="10"/>
      <c r="AR172" s="10"/>
      <c r="AS172" s="8"/>
      <c r="AT172" s="8"/>
      <c r="AU172" s="8"/>
    </row>
    <row r="173" spans="20:47" x14ac:dyDescent="0.4">
      <c r="T173" s="5"/>
      <c r="U173" s="8"/>
      <c r="V173" s="8"/>
      <c r="X173" s="5"/>
      <c r="AB173" s="5"/>
      <c r="AC173" s="8"/>
      <c r="AD173" s="8"/>
      <c r="AE173" s="8"/>
      <c r="AF173" s="8"/>
      <c r="AI173" s="9"/>
      <c r="AN173" s="9"/>
      <c r="AP173" s="8"/>
      <c r="AQ173" s="10"/>
      <c r="AR173" s="10"/>
      <c r="AS173" s="8"/>
      <c r="AT173" s="8"/>
      <c r="AU173" s="8"/>
    </row>
    <row r="174" spans="20:47" x14ac:dyDescent="0.4">
      <c r="T174" s="5"/>
      <c r="U174" s="8"/>
      <c r="V174" s="8"/>
      <c r="X174" s="5"/>
      <c r="AB174" s="5"/>
      <c r="AC174" s="8"/>
      <c r="AD174" s="8"/>
      <c r="AE174" s="8"/>
      <c r="AF174" s="8"/>
      <c r="AI174" s="9"/>
      <c r="AN174" s="9"/>
      <c r="AP174" s="8"/>
      <c r="AQ174" s="10"/>
      <c r="AR174" s="10"/>
      <c r="AS174" s="8"/>
      <c r="AT174" s="8"/>
      <c r="AU174" s="8"/>
    </row>
    <row r="175" spans="20:47" x14ac:dyDescent="0.4">
      <c r="T175" s="5"/>
      <c r="U175" s="8"/>
      <c r="V175" s="8"/>
      <c r="X175" s="5"/>
      <c r="AB175" s="5"/>
      <c r="AC175" s="8"/>
      <c r="AD175" s="8"/>
      <c r="AE175" s="8"/>
      <c r="AF175" s="8"/>
      <c r="AI175" s="9"/>
      <c r="AN175" s="9"/>
      <c r="AP175" s="8"/>
      <c r="AQ175" s="10"/>
      <c r="AR175" s="10"/>
      <c r="AS175" s="8"/>
      <c r="AT175" s="8"/>
      <c r="AU175" s="8"/>
    </row>
    <row r="176" spans="20:47" x14ac:dyDescent="0.4">
      <c r="T176" s="5"/>
      <c r="U176" s="8"/>
      <c r="V176" s="8"/>
      <c r="X176" s="5"/>
      <c r="AB176" s="5"/>
      <c r="AC176" s="8"/>
      <c r="AD176" s="8"/>
      <c r="AE176" s="8"/>
      <c r="AF176" s="8"/>
      <c r="AI176" s="9"/>
      <c r="AN176" s="9"/>
      <c r="AP176" s="8"/>
      <c r="AQ176" s="10"/>
      <c r="AR176" s="10"/>
      <c r="AS176" s="8"/>
      <c r="AT176" s="8"/>
      <c r="AU176" s="8"/>
    </row>
    <row r="177" spans="20:47" x14ac:dyDescent="0.4">
      <c r="T177" s="5"/>
      <c r="U177" s="8"/>
      <c r="V177" s="8"/>
      <c r="X177" s="5"/>
      <c r="AB177" s="5"/>
      <c r="AC177" s="8"/>
      <c r="AD177" s="8"/>
      <c r="AE177" s="8"/>
      <c r="AF177" s="8"/>
      <c r="AI177" s="9"/>
      <c r="AN177" s="9"/>
      <c r="AP177" s="8"/>
      <c r="AQ177" s="10"/>
      <c r="AR177" s="10"/>
      <c r="AS177" s="8"/>
      <c r="AT177" s="8"/>
      <c r="AU177" s="8"/>
    </row>
    <row r="178" spans="20:47" x14ac:dyDescent="0.4">
      <c r="T178" s="5"/>
      <c r="U178" s="8"/>
      <c r="V178" s="8"/>
      <c r="X178" s="5"/>
      <c r="AB178" s="5"/>
      <c r="AC178" s="8"/>
      <c r="AD178" s="8"/>
      <c r="AE178" s="8"/>
      <c r="AF178" s="8"/>
      <c r="AI178" s="9"/>
      <c r="AN178" s="9"/>
      <c r="AP178" s="8"/>
      <c r="AQ178" s="10"/>
      <c r="AR178" s="10"/>
      <c r="AS178" s="8"/>
      <c r="AT178" s="8"/>
      <c r="AU178" s="8"/>
    </row>
    <row r="179" spans="20:47" x14ac:dyDescent="0.4">
      <c r="T179" s="5"/>
      <c r="U179" s="8"/>
      <c r="V179" s="8"/>
      <c r="X179" s="5"/>
      <c r="AB179" s="5"/>
      <c r="AC179" s="8"/>
      <c r="AD179" s="8"/>
      <c r="AE179" s="8"/>
      <c r="AF179" s="8"/>
      <c r="AI179" s="9"/>
      <c r="AN179" s="9"/>
      <c r="AP179" s="8"/>
      <c r="AQ179" s="10"/>
      <c r="AR179" s="10"/>
      <c r="AS179" s="8"/>
      <c r="AT179" s="8"/>
      <c r="AU179" s="8"/>
    </row>
    <row r="180" spans="20:47" x14ac:dyDescent="0.4">
      <c r="T180" s="5"/>
      <c r="U180" s="8"/>
      <c r="V180" s="8"/>
      <c r="X180" s="5"/>
      <c r="AB180" s="5"/>
      <c r="AC180" s="8"/>
      <c r="AD180" s="8"/>
      <c r="AE180" s="8"/>
      <c r="AF180" s="8"/>
      <c r="AI180" s="9"/>
      <c r="AN180" s="9"/>
      <c r="AP180" s="8"/>
      <c r="AQ180" s="10"/>
      <c r="AR180" s="10"/>
      <c r="AS180" s="8"/>
      <c r="AT180" s="8"/>
      <c r="AU180" s="8"/>
    </row>
    <row r="181" spans="20:47" x14ac:dyDescent="0.4">
      <c r="T181" s="5"/>
      <c r="U181" s="8"/>
      <c r="V181" s="8"/>
      <c r="X181" s="5"/>
      <c r="AB181" s="5"/>
      <c r="AC181" s="8"/>
      <c r="AD181" s="8"/>
      <c r="AE181" s="8"/>
      <c r="AF181" s="8"/>
      <c r="AI181" s="9"/>
      <c r="AN181" s="9"/>
      <c r="AP181" s="8"/>
      <c r="AQ181" s="10"/>
      <c r="AR181" s="10"/>
      <c r="AS181" s="8"/>
      <c r="AT181" s="8"/>
      <c r="AU181" s="8"/>
    </row>
    <row r="182" spans="20:47" x14ac:dyDescent="0.4">
      <c r="T182" s="5"/>
      <c r="U182" s="8"/>
      <c r="V182" s="8"/>
      <c r="X182" s="5"/>
      <c r="AB182" s="5"/>
      <c r="AC182" s="8"/>
      <c r="AD182" s="8"/>
      <c r="AE182" s="8"/>
      <c r="AF182" s="8"/>
      <c r="AI182" s="9"/>
      <c r="AN182" s="9"/>
      <c r="AP182" s="8"/>
      <c r="AQ182" s="10"/>
      <c r="AR182" s="10"/>
      <c r="AS182" s="8"/>
      <c r="AT182" s="8"/>
      <c r="AU182" s="8"/>
    </row>
    <row r="183" spans="20:47" x14ac:dyDescent="0.4">
      <c r="T183" s="5"/>
      <c r="U183" s="8"/>
      <c r="V183" s="8"/>
      <c r="X183" s="5"/>
      <c r="AB183" s="5"/>
      <c r="AC183" s="8"/>
      <c r="AD183" s="8"/>
      <c r="AE183" s="8"/>
      <c r="AF183" s="8"/>
      <c r="AI183" s="9"/>
      <c r="AN183" s="9"/>
      <c r="AP183" s="8"/>
      <c r="AQ183" s="10"/>
      <c r="AR183" s="10"/>
      <c r="AS183" s="8"/>
      <c r="AT183" s="8"/>
      <c r="AU183" s="8"/>
    </row>
    <row r="184" spans="20:47" x14ac:dyDescent="0.4">
      <c r="T184" s="5"/>
      <c r="U184" s="8"/>
      <c r="V184" s="8"/>
      <c r="X184" s="5"/>
      <c r="AB184" s="5"/>
      <c r="AC184" s="8"/>
      <c r="AD184" s="8"/>
      <c r="AE184" s="8"/>
      <c r="AF184" s="8"/>
      <c r="AI184" s="9"/>
      <c r="AN184" s="9"/>
      <c r="AP184" s="8"/>
      <c r="AQ184" s="10"/>
      <c r="AR184" s="10"/>
      <c r="AS184" s="8"/>
      <c r="AT184" s="8"/>
      <c r="AU184" s="8"/>
    </row>
    <row r="185" spans="20:47" x14ac:dyDescent="0.4">
      <c r="T185" s="5"/>
      <c r="U185" s="8"/>
      <c r="V185" s="8"/>
      <c r="X185" s="5"/>
      <c r="AB185" s="5"/>
      <c r="AC185" s="8"/>
      <c r="AD185" s="8"/>
      <c r="AE185" s="8"/>
      <c r="AF185" s="8"/>
      <c r="AI185" s="9"/>
      <c r="AN185" s="9"/>
      <c r="AP185" s="8"/>
      <c r="AQ185" s="10"/>
      <c r="AR185" s="10"/>
      <c r="AS185" s="8"/>
      <c r="AT185" s="8"/>
      <c r="AU185" s="8"/>
    </row>
    <row r="186" spans="20:47" x14ac:dyDescent="0.4">
      <c r="T186" s="5"/>
      <c r="U186" s="8"/>
      <c r="V186" s="8"/>
      <c r="X186" s="5"/>
      <c r="AB186" s="5"/>
      <c r="AC186" s="8"/>
      <c r="AD186" s="8"/>
      <c r="AE186" s="8"/>
      <c r="AF186" s="8"/>
      <c r="AI186" s="9"/>
      <c r="AN186" s="9"/>
      <c r="AP186" s="8"/>
      <c r="AQ186" s="10"/>
      <c r="AR186" s="10"/>
      <c r="AS186" s="8"/>
      <c r="AT186" s="8"/>
      <c r="AU186" s="8"/>
    </row>
    <row r="187" spans="20:47" x14ac:dyDescent="0.4">
      <c r="T187" s="5"/>
      <c r="U187" s="8"/>
      <c r="V187" s="8"/>
      <c r="X187" s="5"/>
      <c r="AB187" s="5"/>
      <c r="AC187" s="8"/>
      <c r="AD187" s="8"/>
      <c r="AE187" s="8"/>
      <c r="AF187" s="8"/>
      <c r="AI187" s="9"/>
      <c r="AN187" s="9"/>
      <c r="AP187" s="8"/>
      <c r="AQ187" s="10"/>
      <c r="AR187" s="10"/>
      <c r="AS187" s="8"/>
      <c r="AT187" s="8"/>
      <c r="AU187" s="8"/>
    </row>
    <row r="188" spans="20:47" x14ac:dyDescent="0.4">
      <c r="T188" s="5"/>
      <c r="U188" s="8"/>
      <c r="V188" s="8"/>
      <c r="X188" s="5"/>
      <c r="AB188" s="5"/>
      <c r="AC188" s="8"/>
      <c r="AD188" s="8"/>
      <c r="AE188" s="8"/>
      <c r="AF188" s="8"/>
      <c r="AI188" s="9"/>
      <c r="AN188" s="9"/>
      <c r="AP188" s="8"/>
      <c r="AQ188" s="10"/>
      <c r="AR188" s="10"/>
      <c r="AS188" s="8"/>
      <c r="AT188" s="8"/>
      <c r="AU188" s="8"/>
    </row>
    <row r="189" spans="20:47" x14ac:dyDescent="0.4">
      <c r="T189" s="5"/>
      <c r="U189" s="8"/>
      <c r="V189" s="8"/>
      <c r="X189" s="5"/>
      <c r="AB189" s="5"/>
      <c r="AC189" s="8"/>
      <c r="AD189" s="8"/>
      <c r="AE189" s="8"/>
      <c r="AF189" s="8"/>
      <c r="AI189" s="9"/>
      <c r="AN189" s="9"/>
      <c r="AP189" s="8"/>
      <c r="AQ189" s="10"/>
      <c r="AR189" s="10"/>
      <c r="AS189" s="8"/>
      <c r="AT189" s="8"/>
      <c r="AU189" s="8"/>
    </row>
    <row r="190" spans="20:47" x14ac:dyDescent="0.4">
      <c r="T190" s="5"/>
      <c r="U190" s="8"/>
      <c r="V190" s="8"/>
      <c r="X190" s="5"/>
      <c r="AB190" s="5"/>
      <c r="AC190" s="8"/>
      <c r="AD190" s="8"/>
      <c r="AE190" s="8"/>
      <c r="AF190" s="8"/>
      <c r="AI190" s="9"/>
      <c r="AN190" s="9"/>
      <c r="AP190" s="8"/>
      <c r="AQ190" s="10"/>
      <c r="AR190" s="10"/>
      <c r="AS190" s="8"/>
      <c r="AT190" s="8"/>
      <c r="AU190" s="8"/>
    </row>
    <row r="191" spans="20:47" x14ac:dyDescent="0.4">
      <c r="T191" s="5"/>
      <c r="U191" s="8"/>
      <c r="V191" s="8"/>
      <c r="X191" s="5"/>
      <c r="AB191" s="5"/>
      <c r="AC191" s="8"/>
      <c r="AD191" s="8"/>
      <c r="AE191" s="8"/>
      <c r="AF191" s="8"/>
      <c r="AI191" s="9"/>
      <c r="AN191" s="9"/>
      <c r="AP191" s="8"/>
      <c r="AQ191" s="10"/>
      <c r="AR191" s="10"/>
      <c r="AS191" s="8"/>
      <c r="AT191" s="8"/>
      <c r="AU191" s="8"/>
    </row>
    <row r="192" spans="20:47" x14ac:dyDescent="0.4">
      <c r="T192" s="5"/>
      <c r="U192" s="8"/>
      <c r="V192" s="8"/>
      <c r="X192" s="5"/>
      <c r="AB192" s="5"/>
      <c r="AC192" s="8"/>
      <c r="AD192" s="8"/>
      <c r="AE192" s="8"/>
      <c r="AF192" s="8"/>
      <c r="AI192" s="9"/>
      <c r="AN192" s="9"/>
      <c r="AP192" s="8"/>
      <c r="AQ192" s="10"/>
      <c r="AR192" s="10"/>
      <c r="AS192" s="8"/>
      <c r="AT192" s="8"/>
      <c r="AU192" s="8"/>
    </row>
    <row r="193" spans="20:47" x14ac:dyDescent="0.4">
      <c r="T193" s="5"/>
      <c r="U193" s="8"/>
      <c r="V193" s="8"/>
      <c r="X193" s="5"/>
      <c r="AB193" s="5"/>
      <c r="AC193" s="8"/>
      <c r="AD193" s="8"/>
      <c r="AE193" s="8"/>
      <c r="AF193" s="8"/>
      <c r="AI193" s="9"/>
      <c r="AN193" s="9"/>
      <c r="AP193" s="8"/>
      <c r="AQ193" s="10"/>
      <c r="AR193" s="10"/>
      <c r="AS193" s="8"/>
      <c r="AT193" s="8"/>
      <c r="AU193" s="8"/>
    </row>
    <row r="194" spans="20:47" x14ac:dyDescent="0.4">
      <c r="T194" s="5"/>
      <c r="U194" s="8"/>
      <c r="V194" s="8"/>
      <c r="X194" s="5"/>
      <c r="AB194" s="5"/>
      <c r="AC194" s="8"/>
      <c r="AD194" s="8"/>
      <c r="AE194" s="8"/>
      <c r="AF194" s="8"/>
      <c r="AI194" s="9"/>
      <c r="AN194" s="9"/>
      <c r="AP194" s="8"/>
      <c r="AQ194" s="10"/>
      <c r="AR194" s="10"/>
      <c r="AS194" s="8"/>
      <c r="AT194" s="8"/>
      <c r="AU194" s="8"/>
    </row>
    <row r="195" spans="20:47" x14ac:dyDescent="0.4">
      <c r="T195" s="5"/>
      <c r="U195" s="8"/>
      <c r="V195" s="8"/>
      <c r="X195" s="5"/>
      <c r="AB195" s="5"/>
      <c r="AC195" s="8"/>
      <c r="AD195" s="8"/>
      <c r="AE195" s="8"/>
      <c r="AF195" s="8"/>
      <c r="AI195" s="9"/>
      <c r="AN195" s="9"/>
      <c r="AP195" s="8"/>
      <c r="AQ195" s="10"/>
      <c r="AR195" s="10"/>
      <c r="AS195" s="8"/>
      <c r="AT195" s="8"/>
      <c r="AU195" s="8"/>
    </row>
    <row r="196" spans="20:47" x14ac:dyDescent="0.4">
      <c r="T196" s="5"/>
      <c r="U196" s="8"/>
      <c r="V196" s="8"/>
      <c r="X196" s="5"/>
      <c r="AB196" s="5"/>
      <c r="AC196" s="8"/>
      <c r="AD196" s="8"/>
      <c r="AE196" s="8"/>
      <c r="AF196" s="8"/>
      <c r="AI196" s="9"/>
      <c r="AN196" s="9"/>
      <c r="AP196" s="8"/>
      <c r="AQ196" s="10"/>
      <c r="AR196" s="10"/>
      <c r="AS196" s="8"/>
      <c r="AT196" s="8"/>
      <c r="AU196" s="8"/>
    </row>
    <row r="197" spans="20:47" x14ac:dyDescent="0.4">
      <c r="T197" s="5"/>
      <c r="U197" s="8"/>
      <c r="V197" s="8"/>
      <c r="X197" s="5"/>
      <c r="AB197" s="5"/>
      <c r="AC197" s="8"/>
      <c r="AD197" s="8"/>
      <c r="AE197" s="8"/>
      <c r="AF197" s="8"/>
      <c r="AI197" s="9"/>
      <c r="AN197" s="9"/>
      <c r="AP197" s="8"/>
      <c r="AQ197" s="10"/>
      <c r="AR197" s="10"/>
      <c r="AS197" s="8"/>
      <c r="AT197" s="8"/>
      <c r="AU197" s="8"/>
    </row>
    <row r="198" spans="20:47" x14ac:dyDescent="0.4">
      <c r="T198" s="5"/>
      <c r="U198" s="8"/>
      <c r="V198" s="8"/>
      <c r="X198" s="5"/>
      <c r="AB198" s="5"/>
      <c r="AC198" s="8"/>
      <c r="AD198" s="8"/>
      <c r="AE198" s="8"/>
      <c r="AF198" s="8"/>
      <c r="AI198" s="9"/>
      <c r="AN198" s="9"/>
      <c r="AP198" s="8"/>
      <c r="AQ198" s="10"/>
      <c r="AR198" s="10"/>
      <c r="AS198" s="8"/>
      <c r="AT198" s="8"/>
      <c r="AU198" s="8"/>
    </row>
    <row r="199" spans="20:47" x14ac:dyDescent="0.4">
      <c r="T199" s="5"/>
      <c r="U199" s="8"/>
      <c r="V199" s="8"/>
      <c r="X199" s="5"/>
      <c r="AB199" s="5"/>
      <c r="AC199" s="8"/>
      <c r="AD199" s="8"/>
      <c r="AE199" s="8"/>
      <c r="AF199" s="8"/>
      <c r="AI199" s="9"/>
      <c r="AN199" s="9"/>
      <c r="AP199" s="8"/>
      <c r="AQ199" s="10"/>
      <c r="AR199" s="10"/>
      <c r="AS199" s="8"/>
      <c r="AT199" s="8"/>
      <c r="AU199" s="8"/>
    </row>
    <row r="200" spans="20:47" x14ac:dyDescent="0.4">
      <c r="T200" s="5"/>
      <c r="U200" s="8"/>
      <c r="V200" s="8"/>
      <c r="X200" s="5"/>
      <c r="AB200" s="5"/>
      <c r="AC200" s="8"/>
      <c r="AD200" s="8"/>
      <c r="AE200" s="8"/>
      <c r="AF200" s="8"/>
      <c r="AI200" s="9"/>
      <c r="AN200" s="9"/>
      <c r="AP200" s="8"/>
      <c r="AQ200" s="10"/>
      <c r="AR200" s="10"/>
      <c r="AS200" s="8"/>
      <c r="AT200" s="8"/>
      <c r="AU200" s="8"/>
    </row>
    <row r="201" spans="20:47" x14ac:dyDescent="0.4">
      <c r="T201" s="5"/>
      <c r="U201" s="8"/>
      <c r="V201" s="8"/>
      <c r="X201" s="5"/>
      <c r="AB201" s="5"/>
      <c r="AC201" s="8"/>
      <c r="AD201" s="8"/>
      <c r="AE201" s="8"/>
      <c r="AF201" s="8"/>
      <c r="AI201" s="9"/>
      <c r="AN201" s="9"/>
      <c r="AP201" s="8"/>
      <c r="AQ201" s="10"/>
      <c r="AR201" s="10"/>
      <c r="AS201" s="8"/>
      <c r="AT201" s="8"/>
      <c r="AU201" s="8"/>
    </row>
    <row r="202" spans="20:47" x14ac:dyDescent="0.4">
      <c r="T202" s="5"/>
      <c r="U202" s="8"/>
      <c r="V202" s="8"/>
      <c r="X202" s="5"/>
      <c r="AB202" s="5"/>
      <c r="AC202" s="8"/>
      <c r="AD202" s="8"/>
      <c r="AE202" s="8"/>
      <c r="AF202" s="8"/>
      <c r="AI202" s="9"/>
      <c r="AN202" s="9"/>
      <c r="AP202" s="8"/>
      <c r="AQ202" s="10"/>
      <c r="AR202" s="10"/>
      <c r="AS202" s="8"/>
      <c r="AT202" s="8"/>
      <c r="AU202" s="8"/>
    </row>
    <row r="203" spans="20:47" x14ac:dyDescent="0.4">
      <c r="T203" s="5"/>
      <c r="U203" s="8"/>
      <c r="V203" s="8"/>
      <c r="X203" s="5"/>
      <c r="AB203" s="5"/>
      <c r="AC203" s="8"/>
      <c r="AD203" s="8"/>
      <c r="AE203" s="8"/>
      <c r="AF203" s="8"/>
      <c r="AI203" s="9"/>
      <c r="AN203" s="9"/>
      <c r="AP203" s="8"/>
      <c r="AQ203" s="10"/>
      <c r="AR203" s="10"/>
      <c r="AS203" s="8"/>
      <c r="AT203" s="8"/>
      <c r="AU203" s="8"/>
    </row>
    <row r="204" spans="20:47" x14ac:dyDescent="0.4">
      <c r="T204" s="5"/>
      <c r="U204" s="8"/>
      <c r="V204" s="8"/>
      <c r="X204" s="5"/>
      <c r="AB204" s="5"/>
      <c r="AC204" s="8"/>
      <c r="AD204" s="8"/>
      <c r="AE204" s="8"/>
      <c r="AF204" s="8"/>
      <c r="AI204" s="9"/>
      <c r="AN204" s="9"/>
      <c r="AP204" s="8"/>
      <c r="AQ204" s="10"/>
      <c r="AR204" s="10"/>
      <c r="AS204" s="8"/>
      <c r="AT204" s="8"/>
      <c r="AU204" s="8"/>
    </row>
    <row r="205" spans="20:47" x14ac:dyDescent="0.4">
      <c r="T205" s="5"/>
      <c r="U205" s="8"/>
      <c r="V205" s="8"/>
      <c r="X205" s="5"/>
      <c r="AB205" s="5"/>
      <c r="AC205" s="8"/>
      <c r="AD205" s="8"/>
      <c r="AE205" s="8"/>
      <c r="AF205" s="8"/>
      <c r="AI205" s="9"/>
      <c r="AN205" s="9"/>
      <c r="AP205" s="8"/>
      <c r="AQ205" s="10"/>
      <c r="AR205" s="10"/>
      <c r="AS205" s="8"/>
      <c r="AT205" s="8"/>
      <c r="AU205" s="8"/>
    </row>
    <row r="206" spans="20:47" x14ac:dyDescent="0.4">
      <c r="T206" s="5"/>
      <c r="U206" s="8"/>
      <c r="V206" s="8"/>
      <c r="X206" s="5"/>
      <c r="AB206" s="5"/>
      <c r="AC206" s="8"/>
      <c r="AD206" s="8"/>
      <c r="AE206" s="8"/>
      <c r="AF206" s="8"/>
      <c r="AI206" s="9"/>
      <c r="AN206" s="9"/>
      <c r="AP206" s="8"/>
      <c r="AQ206" s="10"/>
      <c r="AR206" s="10"/>
      <c r="AS206" s="8"/>
      <c r="AT206" s="8"/>
      <c r="AU206" s="8"/>
    </row>
    <row r="207" spans="20:47" x14ac:dyDescent="0.4">
      <c r="T207" s="5"/>
      <c r="U207" s="8"/>
      <c r="V207" s="8"/>
      <c r="X207" s="5"/>
      <c r="AB207" s="5"/>
      <c r="AC207" s="8"/>
      <c r="AD207" s="8"/>
      <c r="AE207" s="8"/>
      <c r="AF207" s="8"/>
      <c r="AI207" s="9"/>
      <c r="AN207" s="9"/>
      <c r="AP207" s="8"/>
      <c r="AQ207" s="10"/>
      <c r="AR207" s="10"/>
      <c r="AS207" s="8"/>
      <c r="AT207" s="8"/>
      <c r="AU207" s="8"/>
    </row>
    <row r="208" spans="20:47" x14ac:dyDescent="0.4">
      <c r="T208" s="5"/>
      <c r="U208" s="8"/>
      <c r="V208" s="8"/>
      <c r="X208" s="5"/>
      <c r="AB208" s="5"/>
      <c r="AC208" s="8"/>
      <c r="AD208" s="8"/>
      <c r="AE208" s="8"/>
      <c r="AF208" s="8"/>
      <c r="AI208" s="9"/>
      <c r="AN208" s="9"/>
      <c r="AP208" s="8"/>
      <c r="AQ208" s="10"/>
      <c r="AR208" s="10"/>
      <c r="AS208" s="8"/>
      <c r="AT208" s="8"/>
      <c r="AU208" s="8"/>
    </row>
    <row r="209" spans="20:47" x14ac:dyDescent="0.4">
      <c r="T209" s="5"/>
      <c r="U209" s="8"/>
      <c r="V209" s="8"/>
      <c r="X209" s="5"/>
      <c r="AB209" s="5"/>
      <c r="AC209" s="8"/>
      <c r="AD209" s="8"/>
      <c r="AE209" s="8"/>
      <c r="AF209" s="8"/>
      <c r="AI209" s="9"/>
      <c r="AN209" s="9"/>
      <c r="AP209" s="8"/>
      <c r="AQ209" s="10"/>
      <c r="AR209" s="10"/>
      <c r="AS209" s="8"/>
      <c r="AT209" s="8"/>
      <c r="AU209" s="8"/>
    </row>
    <row r="210" spans="20:47" x14ac:dyDescent="0.4">
      <c r="T210" s="5"/>
      <c r="U210" s="8"/>
      <c r="V210" s="8"/>
      <c r="X210" s="5"/>
      <c r="AB210" s="5"/>
      <c r="AC210" s="8"/>
      <c r="AD210" s="8"/>
      <c r="AE210" s="8"/>
      <c r="AF210" s="8"/>
      <c r="AI210" s="9"/>
      <c r="AN210" s="9"/>
      <c r="AP210" s="8"/>
      <c r="AQ210" s="10"/>
      <c r="AR210" s="10"/>
      <c r="AS210" s="8"/>
      <c r="AT210" s="8"/>
      <c r="AU210" s="8"/>
    </row>
    <row r="211" spans="20:47" x14ac:dyDescent="0.4">
      <c r="T211" s="5"/>
      <c r="U211" s="8"/>
      <c r="V211" s="8"/>
      <c r="X211" s="5"/>
      <c r="AB211" s="5"/>
      <c r="AC211" s="8"/>
      <c r="AD211" s="8"/>
      <c r="AE211" s="8"/>
      <c r="AF211" s="8"/>
      <c r="AI211" s="9"/>
      <c r="AN211" s="9"/>
      <c r="AP211" s="8"/>
      <c r="AQ211" s="10"/>
      <c r="AR211" s="10"/>
      <c r="AS211" s="8"/>
      <c r="AT211" s="8"/>
      <c r="AU211" s="8"/>
    </row>
    <row r="212" spans="20:47" x14ac:dyDescent="0.4">
      <c r="T212" s="5"/>
      <c r="U212" s="8"/>
      <c r="V212" s="8"/>
      <c r="X212" s="5"/>
      <c r="AB212" s="5"/>
      <c r="AC212" s="8"/>
      <c r="AD212" s="8"/>
      <c r="AE212" s="8"/>
      <c r="AF212" s="8"/>
      <c r="AI212" s="9"/>
      <c r="AN212" s="9"/>
      <c r="AP212" s="8"/>
      <c r="AQ212" s="10"/>
      <c r="AR212" s="10"/>
      <c r="AS212" s="8"/>
      <c r="AT212" s="8"/>
      <c r="AU212" s="8"/>
    </row>
    <row r="213" spans="20:47" x14ac:dyDescent="0.4">
      <c r="T213" s="5"/>
      <c r="U213" s="8"/>
      <c r="V213" s="8"/>
      <c r="X213" s="5"/>
      <c r="AB213" s="5"/>
      <c r="AC213" s="8"/>
      <c r="AD213" s="8"/>
      <c r="AE213" s="8"/>
      <c r="AF213" s="8"/>
      <c r="AI213" s="9"/>
      <c r="AN213" s="9"/>
      <c r="AP213" s="8"/>
      <c r="AQ213" s="10"/>
      <c r="AR213" s="10"/>
      <c r="AS213" s="8"/>
      <c r="AT213" s="8"/>
      <c r="AU213" s="8"/>
    </row>
    <row r="214" spans="20:47" x14ac:dyDescent="0.4">
      <c r="T214" s="5"/>
      <c r="U214" s="8"/>
      <c r="V214" s="8"/>
      <c r="X214" s="5"/>
      <c r="AB214" s="5"/>
      <c r="AC214" s="8"/>
      <c r="AD214" s="8"/>
      <c r="AE214" s="8"/>
      <c r="AF214" s="8"/>
      <c r="AI214" s="9"/>
      <c r="AN214" s="9"/>
      <c r="AP214" s="8"/>
      <c r="AQ214" s="10"/>
      <c r="AR214" s="10"/>
      <c r="AS214" s="8"/>
      <c r="AT214" s="8"/>
      <c r="AU214" s="8"/>
    </row>
    <row r="215" spans="20:47" x14ac:dyDescent="0.4">
      <c r="T215" s="5"/>
      <c r="U215" s="8"/>
      <c r="V215" s="8"/>
      <c r="X215" s="5"/>
      <c r="AB215" s="5"/>
      <c r="AC215" s="8"/>
      <c r="AD215" s="8"/>
      <c r="AE215" s="8"/>
      <c r="AF215" s="8"/>
      <c r="AI215" s="9"/>
      <c r="AN215" s="9"/>
      <c r="AP215" s="8"/>
      <c r="AQ215" s="10"/>
      <c r="AR215" s="10"/>
      <c r="AS215" s="8"/>
      <c r="AT215" s="8"/>
      <c r="AU215" s="8"/>
    </row>
    <row r="216" spans="20:47" x14ac:dyDescent="0.4">
      <c r="T216" s="5"/>
      <c r="U216" s="8"/>
      <c r="V216" s="8"/>
      <c r="X216" s="5"/>
      <c r="AB216" s="5"/>
      <c r="AC216" s="8"/>
      <c r="AD216" s="8"/>
      <c r="AE216" s="8"/>
      <c r="AF216" s="8"/>
      <c r="AI216" s="9"/>
      <c r="AN216" s="9"/>
      <c r="AP216" s="8"/>
      <c r="AQ216" s="10"/>
      <c r="AR216" s="10"/>
      <c r="AS216" s="8"/>
      <c r="AT216" s="8"/>
      <c r="AU216" s="8"/>
    </row>
    <row r="217" spans="20:47" x14ac:dyDescent="0.4">
      <c r="T217" s="5"/>
      <c r="U217" s="8"/>
      <c r="V217" s="8"/>
      <c r="X217" s="5"/>
      <c r="AB217" s="5"/>
      <c r="AC217" s="8"/>
      <c r="AD217" s="8"/>
      <c r="AE217" s="8"/>
      <c r="AF217" s="8"/>
      <c r="AI217" s="9"/>
      <c r="AN217" s="9"/>
      <c r="AP217" s="8"/>
      <c r="AQ217" s="10"/>
      <c r="AR217" s="10"/>
      <c r="AS217" s="8"/>
      <c r="AT217" s="8"/>
      <c r="AU217" s="8"/>
    </row>
    <row r="218" spans="20:47" x14ac:dyDescent="0.4">
      <c r="T218" s="5"/>
      <c r="U218" s="8"/>
      <c r="V218" s="8"/>
      <c r="X218" s="5"/>
      <c r="AB218" s="5"/>
      <c r="AC218" s="8"/>
      <c r="AD218" s="8"/>
      <c r="AE218" s="8"/>
      <c r="AF218" s="8"/>
      <c r="AI218" s="9"/>
      <c r="AN218" s="9"/>
      <c r="AP218" s="8"/>
      <c r="AQ218" s="10"/>
      <c r="AR218" s="10"/>
      <c r="AS218" s="8"/>
      <c r="AT218" s="8"/>
      <c r="AU218" s="8"/>
    </row>
    <row r="219" spans="20:47" x14ac:dyDescent="0.4">
      <c r="T219" s="5"/>
      <c r="U219" s="8"/>
      <c r="V219" s="8"/>
      <c r="X219" s="5"/>
      <c r="AB219" s="5"/>
      <c r="AC219" s="8"/>
      <c r="AD219" s="8"/>
      <c r="AE219" s="8"/>
      <c r="AF219" s="8"/>
      <c r="AI219" s="9"/>
      <c r="AN219" s="9"/>
      <c r="AP219" s="8"/>
      <c r="AQ219" s="10"/>
      <c r="AR219" s="10"/>
      <c r="AS219" s="8"/>
      <c r="AT219" s="8"/>
      <c r="AU219" s="8"/>
    </row>
    <row r="220" spans="20:47" x14ac:dyDescent="0.4">
      <c r="T220" s="5"/>
      <c r="U220" s="8"/>
      <c r="V220" s="8"/>
      <c r="X220" s="5"/>
      <c r="AB220" s="5"/>
      <c r="AC220" s="8"/>
      <c r="AD220" s="8"/>
      <c r="AE220" s="8"/>
      <c r="AF220" s="8"/>
      <c r="AI220" s="9"/>
      <c r="AN220" s="9"/>
      <c r="AP220" s="8"/>
      <c r="AQ220" s="10"/>
      <c r="AR220" s="10"/>
      <c r="AS220" s="8"/>
      <c r="AT220" s="8"/>
      <c r="AU220" s="8"/>
    </row>
    <row r="221" spans="20:47" x14ac:dyDescent="0.4">
      <c r="T221" s="5"/>
      <c r="U221" s="8"/>
      <c r="V221" s="8"/>
      <c r="X221" s="5"/>
      <c r="AB221" s="5"/>
      <c r="AC221" s="8"/>
      <c r="AD221" s="8"/>
      <c r="AE221" s="8"/>
      <c r="AF221" s="8"/>
      <c r="AI221" s="9"/>
      <c r="AN221" s="9"/>
      <c r="AP221" s="8"/>
      <c r="AQ221" s="10"/>
      <c r="AR221" s="10"/>
      <c r="AS221" s="8"/>
      <c r="AT221" s="8"/>
      <c r="AU221" s="8"/>
    </row>
    <row r="222" spans="20:47" x14ac:dyDescent="0.4">
      <c r="T222" s="5"/>
      <c r="U222" s="8"/>
      <c r="V222" s="8"/>
      <c r="X222" s="5"/>
      <c r="AB222" s="5"/>
      <c r="AC222" s="8"/>
      <c r="AD222" s="8"/>
      <c r="AE222" s="8"/>
      <c r="AF222" s="8"/>
      <c r="AI222" s="9"/>
      <c r="AN222" s="9"/>
      <c r="AP222" s="8"/>
      <c r="AQ222" s="10"/>
      <c r="AR222" s="10"/>
      <c r="AS222" s="8"/>
      <c r="AT222" s="8"/>
      <c r="AU222" s="8"/>
    </row>
    <row r="223" spans="20:47" x14ac:dyDescent="0.4">
      <c r="T223" s="5"/>
      <c r="U223" s="8"/>
      <c r="V223" s="8"/>
      <c r="X223" s="5"/>
      <c r="AB223" s="5"/>
      <c r="AC223" s="8"/>
      <c r="AD223" s="8"/>
      <c r="AE223" s="8"/>
      <c r="AF223" s="8"/>
      <c r="AI223" s="9"/>
      <c r="AN223" s="9"/>
      <c r="AP223" s="8"/>
      <c r="AQ223" s="10"/>
      <c r="AR223" s="10"/>
      <c r="AS223" s="8"/>
      <c r="AT223" s="8"/>
      <c r="AU223" s="8"/>
    </row>
    <row r="224" spans="20:47" x14ac:dyDescent="0.4">
      <c r="T224" s="5"/>
      <c r="U224" s="8"/>
      <c r="V224" s="8"/>
      <c r="X224" s="5"/>
      <c r="AB224" s="5"/>
      <c r="AC224" s="8"/>
      <c r="AD224" s="8"/>
      <c r="AE224" s="8"/>
      <c r="AF224" s="8"/>
      <c r="AI224" s="9"/>
      <c r="AN224" s="9"/>
      <c r="AP224" s="8"/>
      <c r="AQ224" s="10"/>
      <c r="AR224" s="10"/>
      <c r="AS224" s="8"/>
      <c r="AT224" s="8"/>
      <c r="AU224" s="8"/>
    </row>
    <row r="225" spans="20:47" x14ac:dyDescent="0.4">
      <c r="T225" s="5"/>
      <c r="U225" s="8"/>
      <c r="V225" s="8"/>
      <c r="X225" s="5"/>
      <c r="AB225" s="5"/>
      <c r="AC225" s="8"/>
      <c r="AD225" s="8"/>
      <c r="AE225" s="8"/>
      <c r="AF225" s="8"/>
      <c r="AI225" s="9"/>
      <c r="AN225" s="9"/>
      <c r="AP225" s="8"/>
      <c r="AQ225" s="10"/>
      <c r="AR225" s="10"/>
      <c r="AS225" s="8"/>
      <c r="AT225" s="8"/>
      <c r="AU225" s="8"/>
    </row>
    <row r="226" spans="20:47" x14ac:dyDescent="0.4">
      <c r="T226" s="5"/>
      <c r="U226" s="8"/>
      <c r="V226" s="8"/>
      <c r="X226" s="5"/>
      <c r="AB226" s="5"/>
      <c r="AC226" s="8"/>
      <c r="AD226" s="8"/>
      <c r="AE226" s="8"/>
      <c r="AF226" s="8"/>
      <c r="AI226" s="9"/>
      <c r="AN226" s="9"/>
      <c r="AP226" s="8"/>
      <c r="AQ226" s="10"/>
      <c r="AR226" s="10"/>
      <c r="AS226" s="8"/>
      <c r="AT226" s="8"/>
      <c r="AU226" s="8"/>
    </row>
    <row r="227" spans="20:47" x14ac:dyDescent="0.4">
      <c r="T227" s="5"/>
      <c r="U227" s="8"/>
      <c r="V227" s="8"/>
      <c r="X227" s="5"/>
      <c r="AB227" s="5"/>
      <c r="AC227" s="8"/>
      <c r="AD227" s="8"/>
      <c r="AE227" s="8"/>
      <c r="AF227" s="8"/>
      <c r="AI227" s="9"/>
      <c r="AN227" s="9"/>
      <c r="AP227" s="8"/>
      <c r="AQ227" s="10"/>
      <c r="AR227" s="10"/>
      <c r="AS227" s="8"/>
      <c r="AT227" s="8"/>
      <c r="AU227" s="8"/>
    </row>
    <row r="228" spans="20:47" x14ac:dyDescent="0.4">
      <c r="T228" s="5"/>
      <c r="U228" s="8"/>
      <c r="V228" s="8"/>
      <c r="X228" s="5"/>
      <c r="AB228" s="5"/>
      <c r="AC228" s="8"/>
      <c r="AD228" s="8"/>
      <c r="AE228" s="8"/>
      <c r="AF228" s="8"/>
      <c r="AI228" s="9"/>
      <c r="AN228" s="9"/>
      <c r="AP228" s="8"/>
      <c r="AQ228" s="10"/>
      <c r="AR228" s="10"/>
      <c r="AS228" s="8"/>
      <c r="AT228" s="8"/>
      <c r="AU228" s="8"/>
    </row>
    <row r="229" spans="20:47" x14ac:dyDescent="0.4">
      <c r="T229" s="5"/>
      <c r="U229" s="8"/>
      <c r="V229" s="8"/>
      <c r="X229" s="5"/>
      <c r="AB229" s="5"/>
      <c r="AC229" s="8"/>
      <c r="AD229" s="8"/>
      <c r="AE229" s="8"/>
      <c r="AF229" s="8"/>
      <c r="AI229" s="9"/>
      <c r="AN229" s="9"/>
      <c r="AP229" s="8"/>
      <c r="AQ229" s="10"/>
      <c r="AR229" s="10"/>
      <c r="AS229" s="8"/>
      <c r="AT229" s="8"/>
      <c r="AU229" s="8"/>
    </row>
    <row r="230" spans="20:47" x14ac:dyDescent="0.4">
      <c r="T230" s="5"/>
      <c r="U230" s="8"/>
      <c r="V230" s="8"/>
      <c r="X230" s="5"/>
      <c r="AB230" s="5"/>
      <c r="AC230" s="8"/>
      <c r="AD230" s="8"/>
      <c r="AE230" s="8"/>
      <c r="AF230" s="8"/>
      <c r="AI230" s="9"/>
      <c r="AN230" s="9"/>
      <c r="AP230" s="8"/>
      <c r="AQ230" s="10"/>
      <c r="AR230" s="10"/>
      <c r="AS230" s="8"/>
      <c r="AT230" s="8"/>
      <c r="AU230" s="8"/>
    </row>
    <row r="231" spans="20:47" x14ac:dyDescent="0.4">
      <c r="T231" s="5"/>
      <c r="U231" s="8"/>
      <c r="V231" s="8"/>
      <c r="X231" s="5"/>
      <c r="AB231" s="5"/>
      <c r="AC231" s="8"/>
      <c r="AD231" s="8"/>
      <c r="AE231" s="8"/>
      <c r="AF231" s="8"/>
      <c r="AI231" s="9"/>
      <c r="AN231" s="9"/>
      <c r="AP231" s="8"/>
      <c r="AQ231" s="10"/>
      <c r="AR231" s="10"/>
      <c r="AS231" s="8"/>
      <c r="AT231" s="8"/>
      <c r="AU231" s="8"/>
    </row>
    <row r="232" spans="20:47" x14ac:dyDescent="0.4">
      <c r="T232" s="5"/>
      <c r="U232" s="8"/>
      <c r="V232" s="8"/>
      <c r="X232" s="5"/>
      <c r="AB232" s="5"/>
      <c r="AC232" s="8"/>
      <c r="AD232" s="8"/>
      <c r="AE232" s="8"/>
      <c r="AF232" s="8"/>
      <c r="AI232" s="9"/>
      <c r="AN232" s="9"/>
      <c r="AP232" s="8"/>
      <c r="AQ232" s="10"/>
      <c r="AR232" s="10"/>
      <c r="AS232" s="8"/>
      <c r="AT232" s="8"/>
      <c r="AU232" s="8"/>
    </row>
    <row r="233" spans="20:47" x14ac:dyDescent="0.4">
      <c r="T233" s="5"/>
      <c r="U233" s="8"/>
      <c r="V233" s="8"/>
      <c r="X233" s="5"/>
      <c r="AB233" s="5"/>
      <c r="AC233" s="8"/>
      <c r="AD233" s="8"/>
      <c r="AE233" s="8"/>
      <c r="AF233" s="8"/>
      <c r="AI233" s="9"/>
      <c r="AN233" s="9"/>
      <c r="AP233" s="8"/>
      <c r="AQ233" s="10"/>
      <c r="AR233" s="10"/>
      <c r="AS233" s="8"/>
      <c r="AT233" s="8"/>
      <c r="AU233" s="8"/>
    </row>
    <row r="234" spans="20:47" x14ac:dyDescent="0.4">
      <c r="T234" s="5"/>
      <c r="U234" s="8"/>
      <c r="V234" s="8"/>
      <c r="X234" s="5"/>
      <c r="AB234" s="5"/>
      <c r="AC234" s="8"/>
      <c r="AD234" s="8"/>
      <c r="AE234" s="8"/>
      <c r="AF234" s="8"/>
      <c r="AI234" s="9"/>
      <c r="AN234" s="9"/>
      <c r="AP234" s="8"/>
      <c r="AQ234" s="10"/>
      <c r="AR234" s="10"/>
      <c r="AS234" s="8"/>
      <c r="AT234" s="8"/>
      <c r="AU234" s="8"/>
    </row>
    <row r="235" spans="20:47" x14ac:dyDescent="0.4">
      <c r="T235" s="5"/>
      <c r="U235" s="8"/>
      <c r="V235" s="8"/>
      <c r="X235" s="5"/>
      <c r="AB235" s="5"/>
      <c r="AC235" s="8"/>
      <c r="AD235" s="8"/>
      <c r="AE235" s="8"/>
      <c r="AF235" s="8"/>
      <c r="AI235" s="9"/>
      <c r="AN235" s="9"/>
      <c r="AP235" s="8"/>
      <c r="AQ235" s="10"/>
      <c r="AR235" s="10"/>
      <c r="AS235" s="8"/>
      <c r="AT235" s="8"/>
      <c r="AU235" s="8"/>
    </row>
    <row r="236" spans="20:47" x14ac:dyDescent="0.4">
      <c r="T236" s="5"/>
      <c r="U236" s="8"/>
      <c r="V236" s="8"/>
      <c r="X236" s="5"/>
      <c r="AB236" s="5"/>
      <c r="AC236" s="8"/>
      <c r="AD236" s="8"/>
      <c r="AE236" s="8"/>
      <c r="AF236" s="8"/>
      <c r="AI236" s="9"/>
      <c r="AN236" s="9"/>
      <c r="AP236" s="8"/>
      <c r="AQ236" s="10"/>
      <c r="AR236" s="10"/>
      <c r="AS236" s="8"/>
      <c r="AT236" s="8"/>
      <c r="AU236" s="8"/>
    </row>
    <row r="237" spans="20:47" x14ac:dyDescent="0.4">
      <c r="T237" s="5"/>
      <c r="U237" s="8"/>
      <c r="V237" s="8"/>
      <c r="X237" s="5"/>
      <c r="AB237" s="5"/>
      <c r="AC237" s="8"/>
      <c r="AD237" s="8"/>
      <c r="AE237" s="8"/>
      <c r="AF237" s="8"/>
      <c r="AI237" s="9"/>
      <c r="AN237" s="9"/>
      <c r="AP237" s="8"/>
      <c r="AQ237" s="10"/>
      <c r="AR237" s="10"/>
      <c r="AS237" s="8"/>
      <c r="AT237" s="8"/>
      <c r="AU237" s="8"/>
    </row>
    <row r="238" spans="20:47" x14ac:dyDescent="0.4">
      <c r="T238" s="5"/>
      <c r="U238" s="8"/>
      <c r="V238" s="8"/>
      <c r="X238" s="5"/>
      <c r="AB238" s="5"/>
      <c r="AC238" s="8"/>
      <c r="AD238" s="8"/>
      <c r="AE238" s="8"/>
      <c r="AF238" s="8"/>
      <c r="AI238" s="9"/>
      <c r="AN238" s="9"/>
      <c r="AP238" s="8"/>
      <c r="AQ238" s="10"/>
      <c r="AR238" s="10"/>
      <c r="AS238" s="8"/>
      <c r="AT238" s="8"/>
      <c r="AU238" s="8"/>
    </row>
    <row r="239" spans="20:47" x14ac:dyDescent="0.4">
      <c r="T239" s="5"/>
      <c r="U239" s="8"/>
      <c r="V239" s="8"/>
      <c r="X239" s="5"/>
      <c r="AB239" s="5"/>
      <c r="AC239" s="8"/>
      <c r="AD239" s="8"/>
      <c r="AE239" s="8"/>
      <c r="AF239" s="8"/>
      <c r="AI239" s="9"/>
      <c r="AN239" s="9"/>
      <c r="AP239" s="8"/>
      <c r="AQ239" s="10"/>
      <c r="AR239" s="10"/>
      <c r="AS239" s="8"/>
      <c r="AT239" s="8"/>
      <c r="AU239" s="8"/>
    </row>
    <row r="240" spans="20:47" x14ac:dyDescent="0.4">
      <c r="T240" s="5"/>
      <c r="U240" s="8"/>
      <c r="V240" s="8"/>
      <c r="X240" s="5"/>
      <c r="AB240" s="5"/>
      <c r="AC240" s="8"/>
      <c r="AD240" s="8"/>
      <c r="AE240" s="8"/>
      <c r="AF240" s="8"/>
      <c r="AI240" s="9"/>
      <c r="AN240" s="9"/>
      <c r="AP240" s="8"/>
      <c r="AQ240" s="10"/>
      <c r="AR240" s="10"/>
      <c r="AS240" s="8"/>
      <c r="AT240" s="8"/>
      <c r="AU240" s="8"/>
    </row>
    <row r="241" spans="20:47" x14ac:dyDescent="0.4">
      <c r="T241" s="5"/>
      <c r="U241" s="8"/>
      <c r="V241" s="8"/>
      <c r="X241" s="5"/>
      <c r="AB241" s="5"/>
      <c r="AC241" s="8"/>
      <c r="AD241" s="8"/>
      <c r="AE241" s="8"/>
      <c r="AF241" s="8"/>
      <c r="AI241" s="9"/>
      <c r="AN241" s="9"/>
      <c r="AP241" s="8"/>
      <c r="AQ241" s="10"/>
      <c r="AR241" s="10"/>
      <c r="AS241" s="8"/>
      <c r="AT241" s="8"/>
      <c r="AU241" s="8"/>
    </row>
    <row r="242" spans="20:47" x14ac:dyDescent="0.4">
      <c r="T242" s="5"/>
      <c r="U242" s="8"/>
      <c r="V242" s="8"/>
      <c r="X242" s="5"/>
      <c r="AB242" s="5"/>
      <c r="AC242" s="8"/>
      <c r="AD242" s="8"/>
      <c r="AE242" s="8"/>
      <c r="AF242" s="8"/>
      <c r="AI242" s="9"/>
      <c r="AN242" s="9"/>
      <c r="AP242" s="8"/>
      <c r="AQ242" s="10"/>
      <c r="AR242" s="10"/>
      <c r="AS242" s="8"/>
      <c r="AT242" s="8"/>
      <c r="AU242" s="8"/>
    </row>
    <row r="243" spans="20:47" x14ac:dyDescent="0.4">
      <c r="T243" s="5"/>
      <c r="U243" s="8"/>
      <c r="V243" s="8"/>
      <c r="X243" s="5"/>
      <c r="AB243" s="5"/>
      <c r="AC243" s="8"/>
      <c r="AD243" s="8"/>
      <c r="AE243" s="8"/>
      <c r="AF243" s="8"/>
      <c r="AI243" s="9"/>
      <c r="AN243" s="9"/>
      <c r="AP243" s="8"/>
      <c r="AQ243" s="10"/>
      <c r="AR243" s="10"/>
      <c r="AS243" s="8"/>
      <c r="AT243" s="8"/>
      <c r="AU243" s="8"/>
    </row>
    <row r="244" spans="20:47" x14ac:dyDescent="0.4">
      <c r="T244" s="5"/>
      <c r="U244" s="8"/>
      <c r="V244" s="8"/>
      <c r="X244" s="5"/>
      <c r="AB244" s="5"/>
      <c r="AC244" s="8"/>
      <c r="AD244" s="8"/>
      <c r="AE244" s="8"/>
      <c r="AF244" s="8"/>
      <c r="AI244" s="9"/>
      <c r="AN244" s="9"/>
      <c r="AP244" s="8"/>
      <c r="AQ244" s="10"/>
      <c r="AR244" s="10"/>
      <c r="AS244" s="8"/>
      <c r="AT244" s="8"/>
      <c r="AU244" s="8"/>
    </row>
    <row r="245" spans="20:47" x14ac:dyDescent="0.4">
      <c r="T245" s="5"/>
      <c r="U245" s="8"/>
      <c r="V245" s="8"/>
      <c r="X245" s="5"/>
      <c r="AB245" s="5"/>
      <c r="AC245" s="8"/>
      <c r="AD245" s="8"/>
      <c r="AE245" s="8"/>
      <c r="AF245" s="8"/>
      <c r="AI245" s="9"/>
      <c r="AN245" s="9"/>
      <c r="AP245" s="8"/>
      <c r="AQ245" s="10"/>
      <c r="AR245" s="10"/>
      <c r="AS245" s="8"/>
      <c r="AT245" s="8"/>
      <c r="AU245" s="8"/>
    </row>
    <row r="246" spans="20:47" x14ac:dyDescent="0.4">
      <c r="T246" s="5"/>
      <c r="U246" s="8"/>
      <c r="V246" s="8"/>
      <c r="X246" s="5"/>
      <c r="AB246" s="5"/>
      <c r="AC246" s="8"/>
      <c r="AD246" s="8"/>
      <c r="AE246" s="8"/>
      <c r="AF246" s="8"/>
      <c r="AI246" s="9"/>
      <c r="AN246" s="9"/>
      <c r="AP246" s="8"/>
      <c r="AQ246" s="10"/>
      <c r="AR246" s="10"/>
      <c r="AS246" s="8"/>
      <c r="AT246" s="8"/>
      <c r="AU246" s="8"/>
    </row>
    <row r="247" spans="20:47" x14ac:dyDescent="0.4">
      <c r="T247" s="5"/>
      <c r="U247" s="8"/>
      <c r="V247" s="8"/>
      <c r="X247" s="5"/>
      <c r="AB247" s="5"/>
      <c r="AC247" s="8"/>
      <c r="AD247" s="8"/>
      <c r="AE247" s="8"/>
      <c r="AF247" s="8"/>
      <c r="AI247" s="9"/>
      <c r="AN247" s="9"/>
      <c r="AP247" s="8"/>
      <c r="AQ247" s="10"/>
      <c r="AR247" s="10"/>
      <c r="AS247" s="8"/>
      <c r="AT247" s="8"/>
      <c r="AU247" s="8"/>
    </row>
    <row r="248" spans="20:47" x14ac:dyDescent="0.4">
      <c r="T248" s="5"/>
      <c r="U248" s="8"/>
      <c r="V248" s="8"/>
      <c r="X248" s="5"/>
      <c r="AB248" s="5"/>
      <c r="AC248" s="8"/>
      <c r="AD248" s="8"/>
      <c r="AE248" s="8"/>
      <c r="AF248" s="8"/>
      <c r="AI248" s="9"/>
      <c r="AN248" s="9"/>
      <c r="AP248" s="8"/>
      <c r="AQ248" s="10"/>
      <c r="AR248" s="10"/>
      <c r="AS248" s="8"/>
      <c r="AT248" s="8"/>
      <c r="AU248" s="8"/>
    </row>
    <row r="249" spans="20:47" x14ac:dyDescent="0.4">
      <c r="T249" s="5"/>
      <c r="U249" s="8"/>
      <c r="V249" s="8"/>
      <c r="X249" s="5"/>
      <c r="AB249" s="5"/>
      <c r="AC249" s="8"/>
      <c r="AD249" s="8"/>
      <c r="AE249" s="8"/>
      <c r="AF249" s="8"/>
      <c r="AI249" s="9"/>
      <c r="AN249" s="9"/>
      <c r="AP249" s="8"/>
      <c r="AQ249" s="10"/>
      <c r="AR249" s="10"/>
      <c r="AS249" s="8"/>
      <c r="AT249" s="8"/>
      <c r="AU249" s="8"/>
    </row>
    <row r="250" spans="20:47" x14ac:dyDescent="0.4">
      <c r="T250" s="5"/>
      <c r="U250" s="8"/>
      <c r="V250" s="8"/>
      <c r="X250" s="5"/>
      <c r="AB250" s="5"/>
      <c r="AC250" s="8"/>
      <c r="AD250" s="8"/>
      <c r="AE250" s="8"/>
      <c r="AF250" s="8"/>
      <c r="AI250" s="9"/>
      <c r="AN250" s="9"/>
      <c r="AP250" s="8"/>
      <c r="AQ250" s="10"/>
      <c r="AR250" s="10"/>
      <c r="AS250" s="8"/>
      <c r="AT250" s="8"/>
      <c r="AU250" s="8"/>
    </row>
    <row r="251" spans="20:47" x14ac:dyDescent="0.4">
      <c r="T251" s="5"/>
      <c r="U251" s="8"/>
      <c r="V251" s="8"/>
      <c r="X251" s="5"/>
      <c r="AB251" s="5"/>
      <c r="AC251" s="8"/>
      <c r="AD251" s="8"/>
      <c r="AE251" s="8"/>
      <c r="AF251" s="8"/>
      <c r="AI251" s="9"/>
      <c r="AN251" s="9"/>
      <c r="AP251" s="8"/>
      <c r="AQ251" s="10"/>
      <c r="AR251" s="10"/>
      <c r="AS251" s="8"/>
      <c r="AT251" s="8"/>
      <c r="AU251" s="8"/>
    </row>
    <row r="252" spans="20:47" x14ac:dyDescent="0.4">
      <c r="T252" s="5"/>
      <c r="U252" s="8"/>
      <c r="V252" s="8"/>
      <c r="X252" s="5"/>
      <c r="AB252" s="5"/>
      <c r="AC252" s="8"/>
      <c r="AD252" s="8"/>
      <c r="AE252" s="8"/>
      <c r="AF252" s="8"/>
      <c r="AI252" s="9"/>
      <c r="AN252" s="9"/>
      <c r="AP252" s="8"/>
      <c r="AQ252" s="10"/>
      <c r="AR252" s="10"/>
      <c r="AS252" s="8"/>
      <c r="AT252" s="8"/>
      <c r="AU252" s="8"/>
    </row>
    <row r="253" spans="20:47" x14ac:dyDescent="0.4">
      <c r="T253" s="5"/>
      <c r="U253" s="8"/>
      <c r="V253" s="8"/>
      <c r="X253" s="5"/>
      <c r="AB253" s="5"/>
      <c r="AC253" s="8"/>
      <c r="AD253" s="8"/>
      <c r="AE253" s="8"/>
      <c r="AF253" s="8"/>
      <c r="AI253" s="9"/>
      <c r="AN253" s="9"/>
      <c r="AP253" s="8"/>
      <c r="AQ253" s="10"/>
      <c r="AR253" s="10"/>
      <c r="AS253" s="8"/>
      <c r="AT253" s="8"/>
      <c r="AU253" s="8"/>
    </row>
    <row r="254" spans="20:47" x14ac:dyDescent="0.4">
      <c r="T254" s="5"/>
      <c r="U254" s="8"/>
      <c r="V254" s="8"/>
      <c r="X254" s="5"/>
      <c r="AB254" s="5"/>
      <c r="AC254" s="8"/>
      <c r="AD254" s="8"/>
      <c r="AE254" s="8"/>
      <c r="AF254" s="8"/>
      <c r="AI254" s="9"/>
      <c r="AN254" s="9"/>
      <c r="AP254" s="8"/>
      <c r="AQ254" s="10"/>
      <c r="AR254" s="10"/>
      <c r="AS254" s="8"/>
      <c r="AT254" s="8"/>
      <c r="AU254" s="8"/>
    </row>
    <row r="255" spans="20:47" x14ac:dyDescent="0.4">
      <c r="T255" s="5"/>
      <c r="U255" s="8"/>
      <c r="V255" s="8"/>
      <c r="X255" s="5"/>
      <c r="AB255" s="5"/>
      <c r="AC255" s="8"/>
      <c r="AD255" s="8"/>
      <c r="AE255" s="8"/>
      <c r="AF255" s="8"/>
      <c r="AI255" s="9"/>
      <c r="AN255" s="9"/>
      <c r="AP255" s="8"/>
      <c r="AQ255" s="10"/>
      <c r="AR255" s="10"/>
      <c r="AS255" s="8"/>
      <c r="AT255" s="8"/>
      <c r="AU255" s="8"/>
    </row>
    <row r="256" spans="20:47" x14ac:dyDescent="0.4">
      <c r="T256" s="5"/>
      <c r="U256" s="8"/>
      <c r="V256" s="8"/>
      <c r="X256" s="5"/>
      <c r="AB256" s="5"/>
      <c r="AC256" s="8"/>
      <c r="AD256" s="8"/>
      <c r="AE256" s="8"/>
      <c r="AF256" s="8"/>
      <c r="AI256" s="9"/>
      <c r="AN256" s="9"/>
      <c r="AP256" s="8"/>
      <c r="AQ256" s="10"/>
      <c r="AR256" s="10"/>
      <c r="AS256" s="8"/>
      <c r="AT256" s="8"/>
      <c r="AU256" s="8"/>
    </row>
    <row r="257" spans="20:47" x14ac:dyDescent="0.4">
      <c r="T257" s="5"/>
      <c r="U257" s="8"/>
      <c r="V257" s="8"/>
      <c r="X257" s="5"/>
      <c r="AB257" s="5"/>
      <c r="AC257" s="8"/>
      <c r="AD257" s="8"/>
      <c r="AE257" s="8"/>
      <c r="AF257" s="8"/>
      <c r="AI257" s="9"/>
      <c r="AN257" s="9"/>
      <c r="AP257" s="8"/>
      <c r="AQ257" s="10"/>
      <c r="AR257" s="10"/>
      <c r="AS257" s="8"/>
      <c r="AT257" s="8"/>
      <c r="AU257" s="8"/>
    </row>
    <row r="258" spans="20:47" x14ac:dyDescent="0.4">
      <c r="T258" s="5"/>
      <c r="U258" s="8"/>
      <c r="V258" s="8"/>
      <c r="X258" s="5"/>
      <c r="AB258" s="5"/>
      <c r="AC258" s="8"/>
      <c r="AD258" s="8"/>
      <c r="AE258" s="8"/>
      <c r="AF258" s="8"/>
      <c r="AI258" s="9"/>
      <c r="AN258" s="9"/>
      <c r="AP258" s="8"/>
      <c r="AQ258" s="10"/>
      <c r="AR258" s="10"/>
      <c r="AS258" s="8"/>
      <c r="AT258" s="8"/>
      <c r="AU258" s="8"/>
    </row>
    <row r="259" spans="20:47" x14ac:dyDescent="0.4">
      <c r="T259" s="5"/>
      <c r="U259" s="8"/>
      <c r="V259" s="8"/>
      <c r="X259" s="5"/>
      <c r="AB259" s="5"/>
      <c r="AC259" s="8"/>
      <c r="AD259" s="8"/>
      <c r="AE259" s="8"/>
      <c r="AF259" s="8"/>
      <c r="AI259" s="9"/>
      <c r="AN259" s="9"/>
      <c r="AP259" s="8"/>
      <c r="AQ259" s="10"/>
      <c r="AR259" s="10"/>
      <c r="AS259" s="8"/>
      <c r="AT259" s="8"/>
      <c r="AU259" s="8"/>
    </row>
    <row r="260" spans="20:47" x14ac:dyDescent="0.4">
      <c r="T260" s="5"/>
      <c r="U260" s="8"/>
      <c r="V260" s="8"/>
      <c r="X260" s="5"/>
      <c r="AB260" s="5"/>
      <c r="AC260" s="8"/>
      <c r="AD260" s="8"/>
      <c r="AE260" s="8"/>
      <c r="AF260" s="8"/>
      <c r="AI260" s="9"/>
      <c r="AN260" s="9"/>
      <c r="AP260" s="8"/>
      <c r="AQ260" s="10"/>
      <c r="AR260" s="10"/>
      <c r="AS260" s="8"/>
      <c r="AT260" s="8"/>
      <c r="AU260" s="8"/>
    </row>
    <row r="261" spans="20:47" x14ac:dyDescent="0.4">
      <c r="T261" s="5"/>
      <c r="U261" s="8"/>
      <c r="V261" s="8"/>
      <c r="X261" s="5"/>
      <c r="AB261" s="5"/>
      <c r="AC261" s="8"/>
      <c r="AD261" s="8"/>
      <c r="AE261" s="8"/>
      <c r="AF261" s="8"/>
      <c r="AI261" s="9"/>
      <c r="AN261" s="9"/>
      <c r="AP261" s="8"/>
      <c r="AQ261" s="10"/>
      <c r="AR261" s="10"/>
      <c r="AS261" s="8"/>
      <c r="AT261" s="8"/>
      <c r="AU261" s="8"/>
    </row>
    <row r="262" spans="20:47" x14ac:dyDescent="0.4">
      <c r="T262" s="5"/>
      <c r="U262" s="8"/>
      <c r="V262" s="8"/>
      <c r="X262" s="5"/>
      <c r="AB262" s="5"/>
      <c r="AC262" s="8"/>
      <c r="AD262" s="8"/>
      <c r="AE262" s="8"/>
      <c r="AF262" s="8"/>
      <c r="AI262" s="9"/>
      <c r="AN262" s="9"/>
      <c r="AP262" s="8"/>
      <c r="AQ262" s="10"/>
      <c r="AR262" s="10"/>
      <c r="AS262" s="8"/>
      <c r="AT262" s="8"/>
      <c r="AU262" s="8"/>
    </row>
    <row r="263" spans="20:47" x14ac:dyDescent="0.4">
      <c r="T263" s="5"/>
      <c r="U263" s="8"/>
      <c r="V263" s="8"/>
      <c r="X263" s="5"/>
      <c r="AB263" s="5"/>
      <c r="AC263" s="8"/>
      <c r="AD263" s="8"/>
      <c r="AE263" s="8"/>
      <c r="AF263" s="8"/>
      <c r="AI263" s="9"/>
      <c r="AN263" s="9"/>
      <c r="AP263" s="8"/>
      <c r="AQ263" s="10"/>
      <c r="AR263" s="10"/>
      <c r="AS263" s="8"/>
      <c r="AT263" s="8"/>
      <c r="AU263" s="8"/>
    </row>
    <row r="264" spans="20:47" x14ac:dyDescent="0.4">
      <c r="T264" s="5"/>
      <c r="U264" s="8"/>
      <c r="V264" s="8"/>
      <c r="X264" s="5"/>
      <c r="AB264" s="5"/>
      <c r="AC264" s="8"/>
      <c r="AD264" s="8"/>
      <c r="AE264" s="8"/>
      <c r="AF264" s="8"/>
      <c r="AI264" s="9"/>
      <c r="AN264" s="9"/>
      <c r="AP264" s="8"/>
      <c r="AQ264" s="10"/>
      <c r="AR264" s="10"/>
      <c r="AS264" s="8"/>
      <c r="AT264" s="8"/>
      <c r="AU264" s="8"/>
    </row>
    <row r="265" spans="20:47" x14ac:dyDescent="0.4">
      <c r="T265" s="5"/>
      <c r="U265" s="8"/>
      <c r="V265" s="8"/>
      <c r="X265" s="5"/>
      <c r="AB265" s="5"/>
      <c r="AC265" s="8"/>
      <c r="AD265" s="8"/>
      <c r="AE265" s="8"/>
      <c r="AF265" s="8"/>
      <c r="AI265" s="9"/>
      <c r="AN265" s="9"/>
      <c r="AP265" s="8"/>
      <c r="AQ265" s="10"/>
      <c r="AR265" s="10"/>
      <c r="AS265" s="8"/>
      <c r="AT265" s="8"/>
      <c r="AU265" s="8"/>
    </row>
    <row r="266" spans="20:47" x14ac:dyDescent="0.4">
      <c r="T266" s="5"/>
      <c r="U266" s="8"/>
      <c r="V266" s="8"/>
      <c r="X266" s="5"/>
      <c r="AB266" s="5"/>
      <c r="AC266" s="8"/>
      <c r="AD266" s="8"/>
      <c r="AE266" s="8"/>
      <c r="AF266" s="8"/>
      <c r="AI266" s="9"/>
      <c r="AN266" s="9"/>
      <c r="AP266" s="8"/>
      <c r="AQ266" s="10"/>
      <c r="AR266" s="10"/>
      <c r="AS266" s="8"/>
      <c r="AT266" s="8"/>
      <c r="AU266" s="8"/>
    </row>
    <row r="267" spans="20:47" x14ac:dyDescent="0.4">
      <c r="T267" s="5"/>
      <c r="U267" s="8"/>
      <c r="V267" s="8"/>
      <c r="X267" s="5"/>
      <c r="AB267" s="5"/>
      <c r="AC267" s="8"/>
      <c r="AD267" s="8"/>
      <c r="AE267" s="8"/>
      <c r="AF267" s="8"/>
      <c r="AI267" s="9"/>
      <c r="AN267" s="9"/>
      <c r="AP267" s="8"/>
      <c r="AQ267" s="10"/>
      <c r="AR267" s="10"/>
      <c r="AS267" s="8"/>
      <c r="AT267" s="8"/>
      <c r="AU267" s="8"/>
    </row>
    <row r="268" spans="20:47" x14ac:dyDescent="0.4">
      <c r="T268" s="5"/>
      <c r="U268" s="8"/>
      <c r="V268" s="8"/>
      <c r="X268" s="5"/>
      <c r="AB268" s="5"/>
      <c r="AC268" s="8"/>
      <c r="AD268" s="8"/>
      <c r="AE268" s="8"/>
      <c r="AF268" s="8"/>
      <c r="AI268" s="9"/>
      <c r="AN268" s="9"/>
      <c r="AP268" s="8"/>
      <c r="AQ268" s="10"/>
      <c r="AR268" s="10"/>
      <c r="AS268" s="8"/>
      <c r="AT268" s="8"/>
      <c r="AU268" s="8"/>
    </row>
    <row r="269" spans="20:47" x14ac:dyDescent="0.4">
      <c r="T269" s="5"/>
      <c r="U269" s="8"/>
      <c r="V269" s="8"/>
      <c r="X269" s="5"/>
      <c r="AB269" s="5"/>
      <c r="AC269" s="8"/>
      <c r="AD269" s="8"/>
      <c r="AE269" s="8"/>
      <c r="AF269" s="8"/>
      <c r="AI269" s="9"/>
      <c r="AN269" s="9"/>
      <c r="AP269" s="8"/>
      <c r="AQ269" s="10"/>
      <c r="AR269" s="10"/>
      <c r="AS269" s="8"/>
      <c r="AT269" s="8"/>
      <c r="AU269" s="8"/>
    </row>
    <row r="270" spans="20:47" x14ac:dyDescent="0.4">
      <c r="T270" s="5"/>
      <c r="U270" s="8"/>
      <c r="V270" s="8"/>
      <c r="X270" s="5"/>
      <c r="AB270" s="5"/>
      <c r="AC270" s="8"/>
      <c r="AD270" s="8"/>
      <c r="AE270" s="8"/>
      <c r="AF270" s="8"/>
      <c r="AI270" s="9"/>
      <c r="AN270" s="9"/>
      <c r="AP270" s="8"/>
      <c r="AQ270" s="10"/>
      <c r="AR270" s="10"/>
      <c r="AS270" s="8"/>
      <c r="AT270" s="8"/>
      <c r="AU270" s="8"/>
    </row>
    <row r="271" spans="20:47" x14ac:dyDescent="0.4">
      <c r="T271" s="5"/>
      <c r="U271" s="8"/>
      <c r="V271" s="8"/>
      <c r="X271" s="5"/>
      <c r="AB271" s="5"/>
      <c r="AC271" s="8"/>
      <c r="AD271" s="8"/>
      <c r="AE271" s="8"/>
      <c r="AF271" s="8"/>
      <c r="AI271" s="9"/>
      <c r="AN271" s="9"/>
      <c r="AP271" s="8"/>
      <c r="AQ271" s="10"/>
      <c r="AR271" s="10"/>
      <c r="AS271" s="8"/>
      <c r="AT271" s="8"/>
      <c r="AU271" s="8"/>
    </row>
    <row r="272" spans="20:47" x14ac:dyDescent="0.4">
      <c r="T272" s="5"/>
      <c r="U272" s="8"/>
      <c r="V272" s="8"/>
      <c r="X272" s="5"/>
      <c r="AB272" s="5"/>
      <c r="AC272" s="8"/>
      <c r="AD272" s="8"/>
      <c r="AE272" s="8"/>
      <c r="AF272" s="8"/>
      <c r="AI272" s="9"/>
      <c r="AN272" s="9"/>
      <c r="AP272" s="8"/>
      <c r="AQ272" s="10"/>
      <c r="AR272" s="10"/>
      <c r="AS272" s="8"/>
      <c r="AT272" s="8"/>
      <c r="AU272" s="8"/>
    </row>
    <row r="273" spans="20:47" x14ac:dyDescent="0.4">
      <c r="T273" s="5"/>
      <c r="U273" s="8"/>
      <c r="V273" s="8"/>
      <c r="X273" s="5"/>
      <c r="AB273" s="5"/>
      <c r="AC273" s="8"/>
      <c r="AD273" s="8"/>
      <c r="AE273" s="8"/>
      <c r="AF273" s="8"/>
      <c r="AI273" s="9"/>
      <c r="AN273" s="9"/>
      <c r="AP273" s="8"/>
      <c r="AQ273" s="10"/>
      <c r="AR273" s="10"/>
      <c r="AS273" s="8"/>
      <c r="AT273" s="8"/>
      <c r="AU273" s="8"/>
    </row>
    <row r="274" spans="20:47" x14ac:dyDescent="0.4">
      <c r="T274" s="5"/>
      <c r="U274" s="8"/>
      <c r="V274" s="8"/>
      <c r="X274" s="5"/>
      <c r="AB274" s="5"/>
      <c r="AC274" s="8"/>
      <c r="AD274" s="8"/>
      <c r="AE274" s="8"/>
      <c r="AF274" s="8"/>
      <c r="AI274" s="9"/>
      <c r="AN274" s="9"/>
      <c r="AP274" s="8"/>
      <c r="AQ274" s="10"/>
      <c r="AR274" s="10"/>
      <c r="AS274" s="8"/>
      <c r="AT274" s="8"/>
      <c r="AU274" s="8"/>
    </row>
    <row r="275" spans="20:47" x14ac:dyDescent="0.4">
      <c r="T275" s="5"/>
      <c r="U275" s="8"/>
      <c r="V275" s="8"/>
      <c r="X275" s="5"/>
      <c r="AB275" s="5"/>
      <c r="AC275" s="8"/>
      <c r="AD275" s="8"/>
      <c r="AE275" s="8"/>
      <c r="AF275" s="8"/>
      <c r="AI275" s="9"/>
      <c r="AN275" s="9"/>
      <c r="AP275" s="8"/>
      <c r="AQ275" s="10"/>
      <c r="AR275" s="10"/>
      <c r="AS275" s="8"/>
      <c r="AT275" s="8"/>
      <c r="AU275" s="8"/>
    </row>
    <row r="276" spans="20:47" x14ac:dyDescent="0.4">
      <c r="T276" s="5"/>
      <c r="U276" s="8"/>
      <c r="V276" s="8"/>
      <c r="X276" s="5"/>
      <c r="AB276" s="5"/>
      <c r="AC276" s="8"/>
      <c r="AD276" s="8"/>
      <c r="AE276" s="8"/>
      <c r="AF276" s="8"/>
      <c r="AI276" s="9"/>
      <c r="AN276" s="9"/>
      <c r="AP276" s="8"/>
      <c r="AQ276" s="10"/>
      <c r="AR276" s="10"/>
      <c r="AS276" s="8"/>
      <c r="AT276" s="8"/>
      <c r="AU276" s="8"/>
    </row>
    <row r="277" spans="20:47" x14ac:dyDescent="0.4">
      <c r="T277" s="5"/>
      <c r="U277" s="8"/>
      <c r="V277" s="8"/>
      <c r="X277" s="5"/>
      <c r="AB277" s="5"/>
      <c r="AC277" s="8"/>
      <c r="AD277" s="8"/>
      <c r="AE277" s="8"/>
      <c r="AF277" s="8"/>
      <c r="AI277" s="9"/>
      <c r="AN277" s="9"/>
      <c r="AP277" s="8"/>
      <c r="AQ277" s="10"/>
      <c r="AR277" s="10"/>
      <c r="AS277" s="8"/>
      <c r="AT277" s="8"/>
      <c r="AU277" s="8"/>
    </row>
    <row r="278" spans="20:47" x14ac:dyDescent="0.4">
      <c r="T278" s="5"/>
      <c r="U278" s="8"/>
      <c r="V278" s="8"/>
      <c r="X278" s="5"/>
      <c r="AB278" s="5"/>
      <c r="AC278" s="8"/>
      <c r="AD278" s="8"/>
      <c r="AE278" s="8"/>
      <c r="AF278" s="8"/>
      <c r="AI278" s="9"/>
      <c r="AN278" s="9"/>
      <c r="AP278" s="8"/>
      <c r="AQ278" s="10"/>
      <c r="AR278" s="10"/>
      <c r="AS278" s="8"/>
      <c r="AT278" s="8"/>
      <c r="AU278" s="8"/>
    </row>
    <row r="279" spans="20:47" x14ac:dyDescent="0.4">
      <c r="T279" s="5"/>
      <c r="U279" s="8"/>
      <c r="V279" s="8"/>
      <c r="X279" s="5"/>
      <c r="AB279" s="5"/>
      <c r="AC279" s="8"/>
      <c r="AD279" s="8"/>
      <c r="AE279" s="8"/>
      <c r="AF279" s="8"/>
      <c r="AI279" s="9"/>
      <c r="AN279" s="9"/>
      <c r="AP279" s="8"/>
      <c r="AQ279" s="10"/>
      <c r="AR279" s="10"/>
      <c r="AS279" s="8"/>
      <c r="AT279" s="8"/>
      <c r="AU279" s="8"/>
    </row>
    <row r="280" spans="20:47" x14ac:dyDescent="0.4">
      <c r="T280" s="5"/>
      <c r="U280" s="8"/>
      <c r="V280" s="8"/>
      <c r="X280" s="5"/>
      <c r="AB280" s="5"/>
      <c r="AC280" s="8"/>
      <c r="AD280" s="8"/>
      <c r="AE280" s="8"/>
      <c r="AF280" s="8"/>
      <c r="AI280" s="9"/>
      <c r="AN280" s="9"/>
      <c r="AP280" s="8"/>
      <c r="AQ280" s="10"/>
      <c r="AR280" s="10"/>
      <c r="AS280" s="8"/>
      <c r="AT280" s="8"/>
      <c r="AU280" s="8"/>
    </row>
    <row r="281" spans="20:47" x14ac:dyDescent="0.4">
      <c r="T281" s="5"/>
      <c r="U281" s="8"/>
      <c r="V281" s="8"/>
      <c r="X281" s="5"/>
      <c r="AB281" s="5"/>
      <c r="AC281" s="8"/>
      <c r="AD281" s="8"/>
      <c r="AE281" s="8"/>
      <c r="AF281" s="8"/>
      <c r="AI281" s="9"/>
      <c r="AN281" s="9"/>
      <c r="AP281" s="8"/>
      <c r="AQ281" s="10"/>
      <c r="AR281" s="10"/>
      <c r="AS281" s="8"/>
      <c r="AT281" s="8"/>
      <c r="AU281" s="8"/>
    </row>
    <row r="282" spans="20:47" x14ac:dyDescent="0.4">
      <c r="T282" s="5"/>
      <c r="U282" s="8"/>
      <c r="V282" s="8"/>
      <c r="X282" s="5"/>
      <c r="AB282" s="5"/>
      <c r="AC282" s="8"/>
      <c r="AD282" s="8"/>
      <c r="AE282" s="8"/>
      <c r="AF282" s="8"/>
      <c r="AI282" s="9"/>
      <c r="AN282" s="9"/>
      <c r="AP282" s="8"/>
      <c r="AQ282" s="10"/>
      <c r="AR282" s="10"/>
      <c r="AS282" s="8"/>
      <c r="AT282" s="8"/>
      <c r="AU282" s="8"/>
    </row>
    <row r="283" spans="20:47" x14ac:dyDescent="0.4">
      <c r="T283" s="5"/>
      <c r="U283" s="8"/>
      <c r="V283" s="8"/>
      <c r="X283" s="5"/>
      <c r="AB283" s="5"/>
      <c r="AC283" s="8"/>
      <c r="AD283" s="8"/>
      <c r="AE283" s="8"/>
      <c r="AF283" s="8"/>
      <c r="AI283" s="9"/>
      <c r="AN283" s="9"/>
      <c r="AP283" s="8"/>
      <c r="AQ283" s="10"/>
      <c r="AR283" s="10"/>
      <c r="AS283" s="8"/>
      <c r="AT283" s="8"/>
      <c r="AU283" s="8"/>
    </row>
    <row r="284" spans="20:47" x14ac:dyDescent="0.4">
      <c r="T284" s="5"/>
      <c r="U284" s="8"/>
      <c r="V284" s="8"/>
      <c r="X284" s="5"/>
      <c r="AB284" s="5"/>
      <c r="AC284" s="8"/>
      <c r="AD284" s="8"/>
      <c r="AE284" s="8"/>
      <c r="AF284" s="8"/>
      <c r="AI284" s="9"/>
      <c r="AN284" s="9"/>
      <c r="AP284" s="8"/>
      <c r="AQ284" s="10"/>
      <c r="AR284" s="10"/>
      <c r="AS284" s="8"/>
      <c r="AT284" s="8"/>
      <c r="AU284" s="8"/>
    </row>
    <row r="285" spans="20:47" x14ac:dyDescent="0.4">
      <c r="T285" s="5"/>
      <c r="U285" s="8"/>
      <c r="V285" s="8"/>
      <c r="X285" s="5"/>
      <c r="AB285" s="5"/>
      <c r="AC285" s="8"/>
      <c r="AD285" s="8"/>
      <c r="AE285" s="8"/>
      <c r="AF285" s="8"/>
      <c r="AI285" s="9"/>
      <c r="AN285" s="9"/>
      <c r="AP285" s="8"/>
      <c r="AQ285" s="10"/>
      <c r="AR285" s="10"/>
      <c r="AS285" s="8"/>
      <c r="AT285" s="8"/>
      <c r="AU285" s="8"/>
    </row>
    <row r="286" spans="20:47" x14ac:dyDescent="0.4">
      <c r="T286" s="5"/>
      <c r="U286" s="8"/>
      <c r="V286" s="8"/>
      <c r="X286" s="5"/>
      <c r="AB286" s="5"/>
      <c r="AC286" s="8"/>
      <c r="AD286" s="8"/>
      <c r="AE286" s="8"/>
      <c r="AF286" s="8"/>
      <c r="AI286" s="9"/>
      <c r="AN286" s="9"/>
      <c r="AP286" s="8"/>
      <c r="AQ286" s="10"/>
      <c r="AR286" s="10"/>
      <c r="AS286" s="8"/>
      <c r="AT286" s="8"/>
      <c r="AU286" s="8"/>
    </row>
    <row r="287" spans="20:47" x14ac:dyDescent="0.4">
      <c r="T287" s="5"/>
      <c r="U287" s="8"/>
      <c r="V287" s="8"/>
      <c r="X287" s="5"/>
      <c r="AB287" s="5"/>
      <c r="AC287" s="8"/>
      <c r="AD287" s="8"/>
      <c r="AE287" s="8"/>
      <c r="AF287" s="8"/>
      <c r="AI287" s="9"/>
      <c r="AN287" s="9"/>
      <c r="AP287" s="8"/>
      <c r="AQ287" s="10"/>
      <c r="AR287" s="10"/>
      <c r="AS287" s="8"/>
      <c r="AT287" s="8"/>
      <c r="AU287" s="8"/>
    </row>
    <row r="288" spans="20:47" x14ac:dyDescent="0.4">
      <c r="T288" s="5"/>
      <c r="U288" s="8"/>
      <c r="V288" s="8"/>
      <c r="X288" s="5"/>
      <c r="AB288" s="5"/>
      <c r="AC288" s="8"/>
      <c r="AD288" s="8"/>
      <c r="AE288" s="8"/>
      <c r="AF288" s="8"/>
      <c r="AI288" s="9"/>
      <c r="AN288" s="9"/>
      <c r="AP288" s="8"/>
      <c r="AQ288" s="10"/>
      <c r="AR288" s="10"/>
      <c r="AS288" s="8"/>
      <c r="AT288" s="8"/>
      <c r="AU288" s="8"/>
    </row>
    <row r="289" spans="20:47" x14ac:dyDescent="0.4">
      <c r="T289" s="5"/>
      <c r="U289" s="8"/>
      <c r="V289" s="8"/>
      <c r="X289" s="5"/>
      <c r="AB289" s="5"/>
      <c r="AC289" s="8"/>
      <c r="AD289" s="8"/>
      <c r="AE289" s="8"/>
      <c r="AF289" s="8"/>
      <c r="AI289" s="9"/>
      <c r="AN289" s="9"/>
      <c r="AP289" s="8"/>
      <c r="AQ289" s="10"/>
      <c r="AR289" s="10"/>
      <c r="AS289" s="8"/>
      <c r="AT289" s="8"/>
      <c r="AU289" s="8"/>
    </row>
    <row r="290" spans="20:47" x14ac:dyDescent="0.4">
      <c r="T290" s="5"/>
      <c r="U290" s="8"/>
      <c r="V290" s="8"/>
      <c r="X290" s="5"/>
      <c r="AB290" s="5"/>
      <c r="AC290" s="8"/>
      <c r="AD290" s="8"/>
      <c r="AE290" s="8"/>
      <c r="AF290" s="8"/>
      <c r="AI290" s="9"/>
      <c r="AN290" s="9"/>
      <c r="AP290" s="8"/>
      <c r="AQ290" s="10"/>
      <c r="AR290" s="10"/>
      <c r="AS290" s="8"/>
      <c r="AT290" s="8"/>
      <c r="AU290" s="8"/>
    </row>
    <row r="291" spans="20:47" x14ac:dyDescent="0.4">
      <c r="T291" s="5"/>
      <c r="U291" s="8"/>
      <c r="V291" s="8"/>
      <c r="X291" s="5"/>
      <c r="AB291" s="5"/>
      <c r="AC291" s="8"/>
      <c r="AD291" s="8"/>
      <c r="AE291" s="8"/>
      <c r="AF291" s="8"/>
      <c r="AI291" s="9"/>
      <c r="AN291" s="9"/>
      <c r="AP291" s="8"/>
      <c r="AQ291" s="10"/>
      <c r="AR291" s="10"/>
      <c r="AS291" s="8"/>
      <c r="AT291" s="8"/>
      <c r="AU291" s="8"/>
    </row>
    <row r="292" spans="20:47" x14ac:dyDescent="0.4">
      <c r="T292" s="5"/>
      <c r="U292" s="8"/>
      <c r="V292" s="8"/>
      <c r="X292" s="5"/>
      <c r="AB292" s="5"/>
      <c r="AC292" s="8"/>
      <c r="AD292" s="8"/>
      <c r="AE292" s="8"/>
      <c r="AF292" s="8"/>
      <c r="AI292" s="9"/>
      <c r="AN292" s="9"/>
      <c r="AP292" s="8"/>
      <c r="AQ292" s="10"/>
      <c r="AR292" s="10"/>
      <c r="AS292" s="8"/>
      <c r="AT292" s="8"/>
      <c r="AU292" s="8"/>
    </row>
    <row r="293" spans="20:47" x14ac:dyDescent="0.4">
      <c r="T293" s="5"/>
      <c r="U293" s="8"/>
      <c r="V293" s="8"/>
      <c r="X293" s="5"/>
      <c r="AB293" s="5"/>
      <c r="AC293" s="8"/>
      <c r="AD293" s="8"/>
      <c r="AE293" s="8"/>
      <c r="AF293" s="8"/>
      <c r="AI293" s="9"/>
      <c r="AN293" s="9"/>
      <c r="AP293" s="8"/>
      <c r="AQ293" s="10"/>
      <c r="AR293" s="10"/>
      <c r="AS293" s="8"/>
      <c r="AT293" s="8"/>
      <c r="AU293" s="8"/>
    </row>
    <row r="294" spans="20:47" x14ac:dyDescent="0.4">
      <c r="T294" s="5"/>
      <c r="U294" s="8"/>
      <c r="V294" s="8"/>
      <c r="X294" s="5"/>
      <c r="AB294" s="5"/>
      <c r="AC294" s="8"/>
      <c r="AD294" s="8"/>
      <c r="AE294" s="8"/>
      <c r="AF294" s="8"/>
      <c r="AI294" s="9"/>
      <c r="AN294" s="9"/>
      <c r="AP294" s="8"/>
      <c r="AQ294" s="10"/>
      <c r="AR294" s="10"/>
      <c r="AS294" s="8"/>
      <c r="AT294" s="8"/>
      <c r="AU294" s="8"/>
    </row>
    <row r="295" spans="20:47" x14ac:dyDescent="0.4">
      <c r="T295" s="5"/>
      <c r="U295" s="8"/>
      <c r="V295" s="8"/>
      <c r="X295" s="5"/>
      <c r="AB295" s="5"/>
      <c r="AC295" s="8"/>
      <c r="AD295" s="8"/>
      <c r="AE295" s="8"/>
      <c r="AF295" s="8"/>
      <c r="AI295" s="9"/>
      <c r="AN295" s="9"/>
      <c r="AP295" s="8"/>
      <c r="AQ295" s="10"/>
      <c r="AR295" s="10"/>
      <c r="AS295" s="8"/>
      <c r="AT295" s="8"/>
      <c r="AU295" s="8"/>
    </row>
    <row r="296" spans="20:47" x14ac:dyDescent="0.4">
      <c r="T296" s="5"/>
      <c r="U296" s="8"/>
      <c r="V296" s="8"/>
      <c r="X296" s="5"/>
      <c r="AB296" s="5"/>
      <c r="AC296" s="8"/>
      <c r="AD296" s="8"/>
      <c r="AE296" s="8"/>
      <c r="AF296" s="8"/>
      <c r="AI296" s="9"/>
      <c r="AN296" s="9"/>
      <c r="AP296" s="8"/>
      <c r="AQ296" s="10"/>
      <c r="AR296" s="10"/>
      <c r="AS296" s="8"/>
      <c r="AT296" s="8"/>
      <c r="AU296" s="8"/>
    </row>
    <row r="297" spans="20:47" x14ac:dyDescent="0.4">
      <c r="T297" s="5"/>
      <c r="U297" s="8"/>
      <c r="V297" s="8"/>
      <c r="X297" s="5"/>
      <c r="AB297" s="5"/>
      <c r="AC297" s="8"/>
      <c r="AD297" s="8"/>
      <c r="AE297" s="8"/>
      <c r="AF297" s="8"/>
      <c r="AI297" s="9"/>
      <c r="AN297" s="9"/>
      <c r="AP297" s="8"/>
      <c r="AQ297" s="10"/>
      <c r="AR297" s="10"/>
      <c r="AS297" s="8"/>
      <c r="AT297" s="8"/>
      <c r="AU297" s="8"/>
    </row>
    <row r="298" spans="20:47" x14ac:dyDescent="0.4">
      <c r="T298" s="5"/>
      <c r="U298" s="8"/>
      <c r="V298" s="8"/>
      <c r="X298" s="5"/>
      <c r="AB298" s="5"/>
      <c r="AC298" s="8"/>
      <c r="AD298" s="8"/>
      <c r="AE298" s="8"/>
      <c r="AF298" s="8"/>
      <c r="AI298" s="9"/>
      <c r="AN298" s="9"/>
      <c r="AP298" s="8"/>
      <c r="AQ298" s="10"/>
      <c r="AR298" s="10"/>
      <c r="AS298" s="8"/>
      <c r="AT298" s="8"/>
      <c r="AU298" s="8"/>
    </row>
    <row r="299" spans="20:47" x14ac:dyDescent="0.4">
      <c r="T299" s="5"/>
      <c r="U299" s="8"/>
      <c r="V299" s="8"/>
      <c r="X299" s="5"/>
      <c r="AB299" s="5"/>
      <c r="AC299" s="8"/>
      <c r="AD299" s="8"/>
      <c r="AE299" s="8"/>
      <c r="AF299" s="8"/>
      <c r="AI299" s="9"/>
      <c r="AN299" s="9"/>
      <c r="AP299" s="8"/>
      <c r="AQ299" s="10"/>
      <c r="AR299" s="10"/>
      <c r="AS299" s="8"/>
      <c r="AT299" s="8"/>
      <c r="AU299" s="8"/>
    </row>
    <row r="300" spans="20:47" x14ac:dyDescent="0.4">
      <c r="T300" s="5"/>
      <c r="U300" s="8"/>
      <c r="V300" s="8"/>
      <c r="X300" s="5"/>
      <c r="AB300" s="5"/>
      <c r="AC300" s="8"/>
      <c r="AD300" s="8"/>
      <c r="AE300" s="8"/>
      <c r="AF300" s="8"/>
      <c r="AI300" s="9"/>
      <c r="AN300" s="9"/>
      <c r="AP300" s="8"/>
      <c r="AQ300" s="10"/>
      <c r="AR300" s="10"/>
      <c r="AS300" s="8"/>
      <c r="AT300" s="8"/>
      <c r="AU300" s="8"/>
    </row>
    <row r="301" spans="20:47" x14ac:dyDescent="0.4">
      <c r="T301" s="5"/>
      <c r="U301" s="8"/>
      <c r="V301" s="8"/>
      <c r="X301" s="5"/>
      <c r="AB301" s="5"/>
      <c r="AC301" s="8"/>
      <c r="AD301" s="8"/>
      <c r="AE301" s="8"/>
      <c r="AF301" s="8"/>
      <c r="AI301" s="9"/>
      <c r="AN301" s="9"/>
      <c r="AP301" s="8"/>
      <c r="AQ301" s="10"/>
      <c r="AR301" s="10"/>
      <c r="AS301" s="8"/>
      <c r="AT301" s="8"/>
      <c r="AU301" s="8"/>
    </row>
    <row r="302" spans="20:47" x14ac:dyDescent="0.4">
      <c r="T302" s="5"/>
      <c r="U302" s="8"/>
      <c r="V302" s="8"/>
      <c r="X302" s="5"/>
      <c r="AB302" s="5"/>
      <c r="AC302" s="8"/>
      <c r="AD302" s="8"/>
      <c r="AE302" s="8"/>
      <c r="AF302" s="8"/>
      <c r="AI302" s="9"/>
      <c r="AN302" s="9"/>
      <c r="AP302" s="8"/>
      <c r="AQ302" s="10"/>
      <c r="AR302" s="10"/>
      <c r="AS302" s="8"/>
      <c r="AT302" s="8"/>
      <c r="AU302" s="8"/>
    </row>
    <row r="303" spans="20:47" x14ac:dyDescent="0.4">
      <c r="T303" s="5"/>
      <c r="U303" s="8"/>
      <c r="V303" s="8"/>
      <c r="X303" s="5"/>
      <c r="AB303" s="5"/>
      <c r="AC303" s="8"/>
      <c r="AD303" s="8"/>
      <c r="AE303" s="8"/>
      <c r="AF303" s="8"/>
      <c r="AI303" s="9"/>
      <c r="AN303" s="9"/>
      <c r="AP303" s="8"/>
      <c r="AQ303" s="10"/>
      <c r="AR303" s="10"/>
      <c r="AS303" s="8"/>
      <c r="AT303" s="8"/>
      <c r="AU303" s="8"/>
    </row>
    <row r="304" spans="20:47" x14ac:dyDescent="0.4">
      <c r="T304" s="5"/>
      <c r="U304" s="8"/>
      <c r="V304" s="8"/>
      <c r="X304" s="5"/>
      <c r="AB304" s="5"/>
      <c r="AC304" s="8"/>
      <c r="AD304" s="8"/>
      <c r="AE304" s="8"/>
      <c r="AF304" s="8"/>
      <c r="AI304" s="9"/>
      <c r="AN304" s="9"/>
      <c r="AP304" s="8"/>
      <c r="AQ304" s="10"/>
      <c r="AR304" s="10"/>
      <c r="AS304" s="8"/>
      <c r="AT304" s="8"/>
      <c r="AU304" s="8"/>
    </row>
    <row r="305" spans="20:47" x14ac:dyDescent="0.4">
      <c r="T305" s="5"/>
      <c r="U305" s="8"/>
      <c r="V305" s="8"/>
      <c r="X305" s="5"/>
      <c r="AB305" s="5"/>
      <c r="AC305" s="8"/>
      <c r="AD305" s="8"/>
      <c r="AE305" s="8"/>
      <c r="AF305" s="8"/>
      <c r="AI305" s="9"/>
      <c r="AN305" s="9"/>
      <c r="AP305" s="8"/>
      <c r="AQ305" s="10"/>
      <c r="AR305" s="10"/>
      <c r="AS305" s="8"/>
      <c r="AT305" s="8"/>
      <c r="AU305" s="8"/>
    </row>
    <row r="306" spans="20:47" x14ac:dyDescent="0.4">
      <c r="T306" s="5"/>
      <c r="U306" s="8"/>
      <c r="V306" s="8"/>
      <c r="X306" s="5"/>
      <c r="AB306" s="5"/>
      <c r="AC306" s="8"/>
      <c r="AD306" s="8"/>
      <c r="AE306" s="8"/>
      <c r="AF306" s="8"/>
      <c r="AI306" s="9"/>
      <c r="AN306" s="9"/>
      <c r="AP306" s="8"/>
      <c r="AQ306" s="10"/>
      <c r="AR306" s="10"/>
      <c r="AS306" s="8"/>
      <c r="AT306" s="8"/>
      <c r="AU306" s="8"/>
    </row>
    <row r="307" spans="20:47" x14ac:dyDescent="0.4">
      <c r="T307" s="5"/>
      <c r="U307" s="8"/>
      <c r="V307" s="8"/>
      <c r="X307" s="5"/>
      <c r="AB307" s="5"/>
      <c r="AC307" s="8"/>
      <c r="AD307" s="8"/>
      <c r="AE307" s="8"/>
      <c r="AF307" s="8"/>
      <c r="AI307" s="9"/>
      <c r="AN307" s="9"/>
      <c r="AP307" s="8"/>
      <c r="AQ307" s="10"/>
      <c r="AR307" s="10"/>
      <c r="AS307" s="8"/>
      <c r="AT307" s="8"/>
      <c r="AU307" s="8"/>
    </row>
    <row r="308" spans="20:47" x14ac:dyDescent="0.4">
      <c r="T308" s="5"/>
      <c r="U308" s="8"/>
      <c r="V308" s="8"/>
      <c r="X308" s="5"/>
      <c r="AB308" s="5"/>
      <c r="AC308" s="8"/>
      <c r="AD308" s="8"/>
      <c r="AE308" s="8"/>
      <c r="AF308" s="8"/>
      <c r="AI308" s="9"/>
      <c r="AN308" s="9"/>
      <c r="AP308" s="8"/>
      <c r="AQ308" s="10"/>
      <c r="AR308" s="10"/>
      <c r="AS308" s="8"/>
      <c r="AT308" s="8"/>
      <c r="AU308" s="8"/>
    </row>
    <row r="309" spans="20:47" x14ac:dyDescent="0.4">
      <c r="T309" s="5"/>
      <c r="U309" s="8"/>
      <c r="V309" s="8"/>
      <c r="X309" s="5"/>
      <c r="AB309" s="5"/>
      <c r="AC309" s="8"/>
      <c r="AD309" s="8"/>
      <c r="AE309" s="8"/>
      <c r="AF309" s="8"/>
      <c r="AI309" s="9"/>
      <c r="AN309" s="9"/>
      <c r="AP309" s="8"/>
      <c r="AQ309" s="10"/>
      <c r="AR309" s="10"/>
      <c r="AS309" s="8"/>
      <c r="AT309" s="8"/>
      <c r="AU309" s="8"/>
    </row>
    <row r="310" spans="20:47" x14ac:dyDescent="0.4">
      <c r="T310" s="5"/>
      <c r="U310" s="8"/>
      <c r="V310" s="8"/>
      <c r="X310" s="5"/>
      <c r="AB310" s="5"/>
      <c r="AC310" s="8"/>
      <c r="AD310" s="8"/>
      <c r="AE310" s="8"/>
      <c r="AF310" s="8"/>
      <c r="AI310" s="9"/>
      <c r="AN310" s="9"/>
      <c r="AP310" s="8"/>
      <c r="AQ310" s="10"/>
      <c r="AR310" s="10"/>
      <c r="AS310" s="8"/>
      <c r="AT310" s="8"/>
      <c r="AU310" s="8"/>
    </row>
    <row r="311" spans="20:47" x14ac:dyDescent="0.4">
      <c r="T311" s="5"/>
      <c r="U311" s="8"/>
      <c r="V311" s="8"/>
      <c r="X311" s="5"/>
      <c r="AB311" s="5"/>
      <c r="AC311" s="8"/>
      <c r="AD311" s="8"/>
      <c r="AE311" s="8"/>
      <c r="AF311" s="8"/>
      <c r="AI311" s="9"/>
      <c r="AN311" s="9"/>
      <c r="AP311" s="8"/>
      <c r="AQ311" s="10"/>
      <c r="AR311" s="10"/>
      <c r="AS311" s="8"/>
      <c r="AT311" s="8"/>
      <c r="AU311" s="8"/>
    </row>
    <row r="312" spans="20:47" x14ac:dyDescent="0.4">
      <c r="T312" s="5"/>
      <c r="U312" s="8"/>
      <c r="V312" s="8"/>
      <c r="X312" s="5"/>
      <c r="AB312" s="5"/>
      <c r="AC312" s="8"/>
      <c r="AD312" s="8"/>
      <c r="AE312" s="8"/>
      <c r="AF312" s="8"/>
      <c r="AI312" s="9"/>
      <c r="AN312" s="9"/>
      <c r="AP312" s="8"/>
      <c r="AQ312" s="10"/>
      <c r="AR312" s="10"/>
      <c r="AS312" s="8"/>
      <c r="AT312" s="8"/>
      <c r="AU312" s="8"/>
    </row>
    <row r="313" spans="20:47" x14ac:dyDescent="0.4">
      <c r="T313" s="5"/>
      <c r="U313" s="8"/>
      <c r="V313" s="8"/>
      <c r="X313" s="5"/>
      <c r="AB313" s="5"/>
      <c r="AC313" s="8"/>
      <c r="AD313" s="8"/>
      <c r="AE313" s="8"/>
      <c r="AF313" s="8"/>
      <c r="AI313" s="9"/>
      <c r="AN313" s="9"/>
      <c r="AP313" s="8"/>
      <c r="AQ313" s="10"/>
      <c r="AR313" s="10"/>
      <c r="AS313" s="8"/>
      <c r="AT313" s="8"/>
      <c r="AU313" s="8"/>
    </row>
    <row r="314" spans="20:47" x14ac:dyDescent="0.4">
      <c r="T314" s="5"/>
      <c r="U314" s="8"/>
      <c r="V314" s="8"/>
      <c r="X314" s="5"/>
      <c r="AB314" s="5"/>
      <c r="AC314" s="8"/>
      <c r="AD314" s="8"/>
      <c r="AE314" s="8"/>
      <c r="AF314" s="8"/>
      <c r="AI314" s="9"/>
      <c r="AN314" s="9"/>
      <c r="AP314" s="8"/>
      <c r="AQ314" s="10"/>
      <c r="AR314" s="10"/>
      <c r="AS314" s="8"/>
      <c r="AT314" s="8"/>
      <c r="AU314" s="8"/>
    </row>
    <row r="315" spans="20:47" x14ac:dyDescent="0.4">
      <c r="T315" s="5"/>
      <c r="U315" s="8"/>
      <c r="V315" s="8"/>
      <c r="X315" s="5"/>
      <c r="AB315" s="5"/>
      <c r="AC315" s="8"/>
      <c r="AD315" s="8"/>
      <c r="AE315" s="8"/>
      <c r="AF315" s="8"/>
      <c r="AI315" s="9"/>
      <c r="AN315" s="9"/>
      <c r="AP315" s="8"/>
      <c r="AQ315" s="10"/>
      <c r="AR315" s="10"/>
      <c r="AS315" s="8"/>
      <c r="AT315" s="8"/>
      <c r="AU315" s="8"/>
    </row>
    <row r="316" spans="20:47" x14ac:dyDescent="0.4">
      <c r="T316" s="5"/>
      <c r="U316" s="8"/>
      <c r="V316" s="8"/>
      <c r="X316" s="5"/>
      <c r="AB316" s="5"/>
      <c r="AC316" s="8"/>
      <c r="AD316" s="8"/>
      <c r="AE316" s="8"/>
      <c r="AF316" s="8"/>
      <c r="AI316" s="9"/>
      <c r="AN316" s="9"/>
      <c r="AP316" s="8"/>
      <c r="AQ316" s="10"/>
      <c r="AR316" s="10"/>
      <c r="AS316" s="8"/>
      <c r="AT316" s="8"/>
      <c r="AU316" s="8"/>
    </row>
    <row r="317" spans="20:47" x14ac:dyDescent="0.4">
      <c r="T317" s="5"/>
      <c r="U317" s="8"/>
      <c r="V317" s="8"/>
      <c r="X317" s="5"/>
      <c r="AB317" s="5"/>
      <c r="AC317" s="8"/>
      <c r="AD317" s="8"/>
      <c r="AE317" s="8"/>
      <c r="AF317" s="8"/>
      <c r="AI317" s="9"/>
      <c r="AN317" s="9"/>
      <c r="AP317" s="8"/>
      <c r="AQ317" s="10"/>
      <c r="AR317" s="10"/>
      <c r="AS317" s="8"/>
      <c r="AT317" s="8"/>
      <c r="AU317" s="8"/>
    </row>
    <row r="318" spans="20:47" x14ac:dyDescent="0.4">
      <c r="T318" s="5"/>
      <c r="U318" s="8"/>
      <c r="V318" s="8"/>
      <c r="X318" s="5"/>
      <c r="AB318" s="5"/>
      <c r="AC318" s="8"/>
      <c r="AD318" s="8"/>
      <c r="AE318" s="8"/>
      <c r="AF318" s="8"/>
      <c r="AI318" s="9"/>
      <c r="AN318" s="9"/>
      <c r="AP318" s="8"/>
      <c r="AQ318" s="10"/>
      <c r="AR318" s="10"/>
      <c r="AS318" s="8"/>
      <c r="AT318" s="8"/>
      <c r="AU318" s="8"/>
    </row>
    <row r="319" spans="20:47" x14ac:dyDescent="0.4">
      <c r="T319" s="5"/>
      <c r="U319" s="8"/>
      <c r="V319" s="8"/>
      <c r="X319" s="5"/>
      <c r="AB319" s="5"/>
      <c r="AC319" s="8"/>
      <c r="AD319" s="8"/>
      <c r="AE319" s="8"/>
      <c r="AF319" s="8"/>
      <c r="AI319" s="9"/>
      <c r="AN319" s="9"/>
      <c r="AP319" s="8"/>
      <c r="AQ319" s="10"/>
      <c r="AR319" s="10"/>
      <c r="AS319" s="8"/>
      <c r="AT319" s="8"/>
      <c r="AU319" s="8"/>
    </row>
    <row r="320" spans="20:47" x14ac:dyDescent="0.4">
      <c r="T320" s="5"/>
      <c r="U320" s="8"/>
      <c r="V320" s="8"/>
      <c r="X320" s="5"/>
      <c r="AB320" s="5"/>
      <c r="AC320" s="8"/>
      <c r="AD320" s="8"/>
      <c r="AE320" s="8"/>
      <c r="AF320" s="8"/>
      <c r="AI320" s="9"/>
      <c r="AN320" s="9"/>
      <c r="AP320" s="8"/>
      <c r="AQ320" s="10"/>
      <c r="AR320" s="10"/>
      <c r="AS320" s="8"/>
      <c r="AT320" s="8"/>
      <c r="AU320" s="8"/>
    </row>
    <row r="321" spans="20:47" x14ac:dyDescent="0.4">
      <c r="T321" s="5"/>
      <c r="U321" s="8"/>
      <c r="V321" s="8"/>
      <c r="X321" s="5"/>
      <c r="AB321" s="5"/>
      <c r="AC321" s="8"/>
      <c r="AD321" s="8"/>
      <c r="AE321" s="8"/>
      <c r="AF321" s="8"/>
      <c r="AI321" s="9"/>
      <c r="AN321" s="9"/>
      <c r="AP321" s="8"/>
      <c r="AQ321" s="10"/>
      <c r="AR321" s="10"/>
      <c r="AS321" s="8"/>
      <c r="AT321" s="8"/>
      <c r="AU321" s="8"/>
    </row>
    <row r="322" spans="20:47" x14ac:dyDescent="0.4">
      <c r="T322" s="5"/>
      <c r="U322" s="8"/>
      <c r="V322" s="8"/>
      <c r="X322" s="5"/>
      <c r="AB322" s="5"/>
      <c r="AC322" s="8"/>
      <c r="AD322" s="8"/>
      <c r="AE322" s="8"/>
      <c r="AF322" s="8"/>
      <c r="AI322" s="9"/>
      <c r="AN322" s="9"/>
      <c r="AP322" s="8"/>
      <c r="AQ322" s="10"/>
      <c r="AR322" s="10"/>
      <c r="AS322" s="8"/>
      <c r="AT322" s="8"/>
      <c r="AU322" s="8"/>
    </row>
    <row r="323" spans="20:47" x14ac:dyDescent="0.4">
      <c r="T323" s="5"/>
      <c r="U323" s="8"/>
      <c r="V323" s="8"/>
      <c r="X323" s="5"/>
      <c r="AB323" s="5"/>
      <c r="AC323" s="8"/>
      <c r="AD323" s="8"/>
      <c r="AE323" s="8"/>
      <c r="AF323" s="8"/>
      <c r="AI323" s="9"/>
      <c r="AN323" s="9"/>
      <c r="AP323" s="8"/>
      <c r="AQ323" s="10"/>
      <c r="AR323" s="10"/>
      <c r="AS323" s="8"/>
      <c r="AT323" s="8"/>
      <c r="AU323" s="8"/>
    </row>
    <row r="324" spans="20:47" x14ac:dyDescent="0.4">
      <c r="T324" s="5"/>
      <c r="U324" s="8"/>
      <c r="V324" s="8"/>
      <c r="X324" s="5"/>
      <c r="AB324" s="5"/>
      <c r="AC324" s="8"/>
      <c r="AD324" s="8"/>
      <c r="AE324" s="8"/>
      <c r="AF324" s="8"/>
      <c r="AI324" s="9"/>
      <c r="AN324" s="9"/>
      <c r="AP324" s="8"/>
      <c r="AQ324" s="10"/>
      <c r="AR324" s="10"/>
      <c r="AS324" s="8"/>
      <c r="AT324" s="8"/>
      <c r="AU324" s="8"/>
    </row>
    <row r="325" spans="20:47" x14ac:dyDescent="0.4">
      <c r="T325" s="5"/>
      <c r="U325" s="8"/>
      <c r="V325" s="8"/>
      <c r="X325" s="5"/>
      <c r="AB325" s="5"/>
      <c r="AC325" s="8"/>
      <c r="AD325" s="8"/>
      <c r="AE325" s="8"/>
      <c r="AF325" s="8"/>
      <c r="AI325" s="9"/>
      <c r="AN325" s="9"/>
      <c r="AP325" s="8"/>
      <c r="AQ325" s="10"/>
      <c r="AR325" s="10"/>
      <c r="AS325" s="8"/>
      <c r="AT325" s="8"/>
      <c r="AU325" s="8"/>
    </row>
    <row r="326" spans="20:47" x14ac:dyDescent="0.4">
      <c r="T326" s="5"/>
      <c r="U326" s="8"/>
      <c r="V326" s="8"/>
      <c r="X326" s="5"/>
      <c r="AB326" s="5"/>
      <c r="AC326" s="8"/>
      <c r="AD326" s="8"/>
      <c r="AE326" s="8"/>
      <c r="AF326" s="8"/>
      <c r="AI326" s="9"/>
      <c r="AN326" s="9"/>
      <c r="AP326" s="8"/>
      <c r="AQ326" s="10"/>
      <c r="AR326" s="10"/>
      <c r="AS326" s="8"/>
      <c r="AT326" s="8"/>
      <c r="AU326" s="8"/>
    </row>
    <row r="327" spans="20:47" x14ac:dyDescent="0.4">
      <c r="T327" s="5"/>
      <c r="U327" s="8"/>
      <c r="V327" s="8"/>
      <c r="X327" s="5"/>
      <c r="AB327" s="5"/>
      <c r="AC327" s="8"/>
      <c r="AD327" s="8"/>
      <c r="AE327" s="8"/>
      <c r="AF327" s="8"/>
      <c r="AI327" s="9"/>
      <c r="AN327" s="9"/>
      <c r="AP327" s="8"/>
      <c r="AQ327" s="10"/>
      <c r="AR327" s="10"/>
      <c r="AS327" s="8"/>
      <c r="AT327" s="8"/>
      <c r="AU327" s="8"/>
    </row>
    <row r="328" spans="20:47" x14ac:dyDescent="0.4">
      <c r="T328" s="5"/>
      <c r="U328" s="8"/>
      <c r="V328" s="8"/>
      <c r="X328" s="5"/>
      <c r="AB328" s="5"/>
      <c r="AC328" s="8"/>
      <c r="AD328" s="8"/>
      <c r="AE328" s="8"/>
      <c r="AF328" s="8"/>
      <c r="AI328" s="9"/>
      <c r="AN328" s="9"/>
      <c r="AP328" s="8"/>
      <c r="AQ328" s="10"/>
      <c r="AR328" s="10"/>
      <c r="AS328" s="8"/>
      <c r="AT328" s="8"/>
      <c r="AU328" s="8"/>
    </row>
    <row r="329" spans="20:47" x14ac:dyDescent="0.4">
      <c r="T329" s="5"/>
      <c r="U329" s="8"/>
      <c r="V329" s="8"/>
      <c r="X329" s="5"/>
      <c r="AB329" s="5"/>
      <c r="AC329" s="8"/>
      <c r="AD329" s="8"/>
      <c r="AE329" s="8"/>
      <c r="AF329" s="8"/>
      <c r="AI329" s="9"/>
      <c r="AN329" s="9"/>
      <c r="AP329" s="8"/>
      <c r="AQ329" s="10"/>
      <c r="AR329" s="10"/>
      <c r="AS329" s="8"/>
      <c r="AT329" s="8"/>
      <c r="AU329" s="8"/>
    </row>
    <row r="330" spans="20:47" x14ac:dyDescent="0.4">
      <c r="T330" s="5"/>
      <c r="U330" s="8"/>
      <c r="V330" s="8"/>
      <c r="X330" s="5"/>
      <c r="AB330" s="5"/>
      <c r="AC330" s="8"/>
      <c r="AD330" s="8"/>
      <c r="AE330" s="8"/>
      <c r="AF330" s="8"/>
      <c r="AI330" s="9"/>
      <c r="AN330" s="9"/>
      <c r="AP330" s="8"/>
      <c r="AQ330" s="10"/>
      <c r="AR330" s="10"/>
      <c r="AS330" s="8"/>
      <c r="AT330" s="8"/>
      <c r="AU330" s="8"/>
    </row>
    <row r="331" spans="20:47" x14ac:dyDescent="0.4">
      <c r="T331" s="5"/>
      <c r="U331" s="8"/>
      <c r="V331" s="8"/>
      <c r="X331" s="5"/>
      <c r="AB331" s="5"/>
      <c r="AC331" s="8"/>
      <c r="AD331" s="8"/>
      <c r="AE331" s="8"/>
      <c r="AF331" s="8"/>
      <c r="AI331" s="9"/>
      <c r="AN331" s="9"/>
      <c r="AP331" s="8"/>
      <c r="AQ331" s="10"/>
      <c r="AR331" s="10"/>
      <c r="AS331" s="8"/>
      <c r="AT331" s="8"/>
      <c r="AU331" s="8"/>
    </row>
    <row r="332" spans="20:47" x14ac:dyDescent="0.4">
      <c r="T332" s="5"/>
      <c r="U332" s="8"/>
      <c r="V332" s="8"/>
      <c r="X332" s="5"/>
      <c r="AB332" s="5"/>
      <c r="AC332" s="8"/>
      <c r="AD332" s="8"/>
      <c r="AE332" s="8"/>
      <c r="AF332" s="8"/>
      <c r="AI332" s="9"/>
      <c r="AN332" s="9"/>
      <c r="AP332" s="8"/>
      <c r="AQ332" s="10"/>
      <c r="AR332" s="10"/>
      <c r="AS332" s="8"/>
      <c r="AT332" s="8"/>
      <c r="AU332" s="8"/>
    </row>
    <row r="333" spans="20:47" x14ac:dyDescent="0.4">
      <c r="T333" s="5"/>
      <c r="U333" s="8"/>
      <c r="V333" s="8"/>
      <c r="X333" s="5"/>
      <c r="AB333" s="5"/>
      <c r="AC333" s="8"/>
      <c r="AD333" s="8"/>
      <c r="AE333" s="8"/>
      <c r="AF333" s="8"/>
      <c r="AI333" s="9"/>
      <c r="AN333" s="9"/>
      <c r="AP333" s="8"/>
      <c r="AQ333" s="10"/>
      <c r="AR333" s="10"/>
      <c r="AS333" s="8"/>
      <c r="AT333" s="8"/>
      <c r="AU333" s="8"/>
    </row>
    <row r="334" spans="20:47" x14ac:dyDescent="0.4">
      <c r="T334" s="5"/>
      <c r="U334" s="8"/>
      <c r="V334" s="8"/>
      <c r="X334" s="5"/>
      <c r="AB334" s="5"/>
      <c r="AC334" s="8"/>
      <c r="AD334" s="8"/>
      <c r="AE334" s="8"/>
      <c r="AF334" s="8"/>
      <c r="AI334" s="9"/>
      <c r="AN334" s="9"/>
      <c r="AP334" s="8"/>
      <c r="AQ334" s="10"/>
      <c r="AR334" s="10"/>
      <c r="AS334" s="8"/>
      <c r="AT334" s="8"/>
      <c r="AU334" s="8"/>
    </row>
    <row r="335" spans="20:47" x14ac:dyDescent="0.4">
      <c r="T335" s="5"/>
      <c r="U335" s="8"/>
      <c r="V335" s="8"/>
      <c r="X335" s="5"/>
      <c r="AB335" s="5"/>
      <c r="AC335" s="8"/>
      <c r="AD335" s="8"/>
      <c r="AE335" s="8"/>
      <c r="AF335" s="8"/>
      <c r="AI335" s="9"/>
      <c r="AN335" s="9"/>
      <c r="AP335" s="8"/>
      <c r="AQ335" s="10"/>
      <c r="AR335" s="10"/>
      <c r="AS335" s="8"/>
      <c r="AT335" s="8"/>
      <c r="AU335" s="8"/>
    </row>
    <row r="336" spans="20:47" x14ac:dyDescent="0.4">
      <c r="T336" s="5"/>
      <c r="U336" s="8"/>
      <c r="V336" s="8"/>
      <c r="X336" s="5"/>
      <c r="AB336" s="5"/>
      <c r="AC336" s="8"/>
      <c r="AD336" s="8"/>
      <c r="AE336" s="8"/>
      <c r="AF336" s="8"/>
      <c r="AI336" s="9"/>
      <c r="AN336" s="9"/>
      <c r="AP336" s="8"/>
      <c r="AQ336" s="10"/>
      <c r="AR336" s="10"/>
      <c r="AS336" s="8"/>
      <c r="AT336" s="8"/>
      <c r="AU336" s="8"/>
    </row>
    <row r="337" spans="20:47" x14ac:dyDescent="0.4">
      <c r="T337" s="5"/>
      <c r="U337" s="8"/>
      <c r="V337" s="8"/>
      <c r="X337" s="5"/>
      <c r="AB337" s="5"/>
      <c r="AC337" s="8"/>
      <c r="AD337" s="8"/>
      <c r="AE337" s="8"/>
      <c r="AF337" s="8"/>
      <c r="AI337" s="9"/>
      <c r="AN337" s="9"/>
      <c r="AP337" s="8"/>
      <c r="AQ337" s="10"/>
      <c r="AR337" s="10"/>
      <c r="AS337" s="8"/>
      <c r="AT337" s="8"/>
      <c r="AU337" s="8"/>
    </row>
    <row r="338" spans="20:47" x14ac:dyDescent="0.4">
      <c r="T338" s="5"/>
      <c r="U338" s="8"/>
      <c r="V338" s="8"/>
      <c r="X338" s="5"/>
      <c r="AB338" s="5"/>
      <c r="AC338" s="8"/>
      <c r="AD338" s="8"/>
      <c r="AE338" s="8"/>
      <c r="AF338" s="8"/>
      <c r="AI338" s="9"/>
      <c r="AN338" s="9"/>
      <c r="AP338" s="8"/>
      <c r="AQ338" s="10"/>
      <c r="AR338" s="10"/>
      <c r="AS338" s="8"/>
      <c r="AT338" s="8"/>
      <c r="AU338" s="8"/>
    </row>
    <row r="339" spans="20:47" x14ac:dyDescent="0.4">
      <c r="T339" s="5"/>
      <c r="U339" s="8"/>
      <c r="V339" s="8"/>
      <c r="X339" s="5"/>
      <c r="AB339" s="5"/>
      <c r="AC339" s="8"/>
      <c r="AD339" s="8"/>
      <c r="AE339" s="8"/>
      <c r="AF339" s="8"/>
      <c r="AI339" s="9"/>
      <c r="AN339" s="9"/>
      <c r="AP339" s="8"/>
      <c r="AQ339" s="10"/>
      <c r="AR339" s="10"/>
      <c r="AS339" s="8"/>
      <c r="AT339" s="8"/>
      <c r="AU339" s="8"/>
    </row>
    <row r="340" spans="20:47" x14ac:dyDescent="0.4">
      <c r="T340" s="5"/>
      <c r="U340" s="8"/>
      <c r="V340" s="8"/>
      <c r="X340" s="5"/>
      <c r="AB340" s="5"/>
      <c r="AC340" s="8"/>
      <c r="AD340" s="8"/>
      <c r="AE340" s="8"/>
      <c r="AF340" s="8"/>
      <c r="AI340" s="9"/>
      <c r="AN340" s="9"/>
      <c r="AP340" s="8"/>
      <c r="AQ340" s="10"/>
      <c r="AR340" s="10"/>
      <c r="AS340" s="8"/>
      <c r="AT340" s="8"/>
      <c r="AU340" s="8"/>
    </row>
    <row r="341" spans="20:47" x14ac:dyDescent="0.4">
      <c r="T341" s="5"/>
      <c r="U341" s="8"/>
      <c r="V341" s="8"/>
      <c r="X341" s="5"/>
      <c r="AB341" s="5"/>
      <c r="AC341" s="8"/>
      <c r="AD341" s="8"/>
      <c r="AE341" s="8"/>
      <c r="AF341" s="8"/>
      <c r="AI341" s="9"/>
      <c r="AN341" s="9"/>
      <c r="AP341" s="8"/>
      <c r="AQ341" s="10"/>
      <c r="AR341" s="10"/>
      <c r="AS341" s="8"/>
      <c r="AT341" s="8"/>
      <c r="AU341" s="8"/>
    </row>
    <row r="342" spans="20:47" x14ac:dyDescent="0.4">
      <c r="T342" s="5"/>
      <c r="U342" s="8"/>
      <c r="V342" s="8"/>
      <c r="X342" s="5"/>
      <c r="AB342" s="5"/>
      <c r="AC342" s="8"/>
      <c r="AD342" s="8"/>
      <c r="AE342" s="8"/>
      <c r="AF342" s="8"/>
      <c r="AI342" s="9"/>
      <c r="AN342" s="9"/>
      <c r="AP342" s="8"/>
      <c r="AQ342" s="10"/>
      <c r="AR342" s="10"/>
      <c r="AS342" s="8"/>
      <c r="AT342" s="8"/>
      <c r="AU342" s="8"/>
    </row>
    <row r="343" spans="20:47" x14ac:dyDescent="0.4">
      <c r="T343" s="5"/>
      <c r="U343" s="8"/>
      <c r="V343" s="8"/>
      <c r="X343" s="5"/>
      <c r="AB343" s="5"/>
      <c r="AC343" s="8"/>
      <c r="AD343" s="8"/>
      <c r="AE343" s="8"/>
      <c r="AF343" s="8"/>
      <c r="AI343" s="9"/>
      <c r="AN343" s="9"/>
      <c r="AP343" s="8"/>
      <c r="AQ343" s="10"/>
      <c r="AR343" s="10"/>
      <c r="AS343" s="8"/>
      <c r="AT343" s="8"/>
      <c r="AU343" s="8"/>
    </row>
    <row r="344" spans="20:47" x14ac:dyDescent="0.4">
      <c r="T344" s="5"/>
      <c r="U344" s="8"/>
      <c r="V344" s="8"/>
      <c r="X344" s="5"/>
      <c r="AB344" s="5"/>
      <c r="AC344" s="8"/>
      <c r="AD344" s="8"/>
      <c r="AE344" s="8"/>
      <c r="AF344" s="8"/>
      <c r="AI344" s="9"/>
      <c r="AN344" s="9"/>
      <c r="AP344" s="8"/>
      <c r="AQ344" s="10"/>
      <c r="AR344" s="10"/>
      <c r="AS344" s="8"/>
      <c r="AT344" s="8"/>
      <c r="AU344" s="8"/>
    </row>
    <row r="345" spans="20:47" x14ac:dyDescent="0.4">
      <c r="T345" s="5"/>
      <c r="U345" s="8"/>
      <c r="V345" s="8"/>
      <c r="X345" s="5"/>
      <c r="AB345" s="5"/>
      <c r="AC345" s="8"/>
      <c r="AD345" s="8"/>
      <c r="AE345" s="8"/>
      <c r="AF345" s="8"/>
      <c r="AI345" s="9"/>
      <c r="AN345" s="9"/>
      <c r="AP345" s="8"/>
      <c r="AQ345" s="10"/>
      <c r="AR345" s="10"/>
      <c r="AS345" s="8"/>
      <c r="AT345" s="8"/>
      <c r="AU345" s="8"/>
    </row>
    <row r="346" spans="20:47" x14ac:dyDescent="0.4">
      <c r="T346" s="5"/>
      <c r="U346" s="8"/>
      <c r="V346" s="8"/>
      <c r="X346" s="5"/>
      <c r="AB346" s="5"/>
      <c r="AC346" s="8"/>
      <c r="AD346" s="8"/>
      <c r="AE346" s="8"/>
      <c r="AF346" s="8"/>
      <c r="AI346" s="9"/>
      <c r="AN346" s="9"/>
      <c r="AP346" s="8"/>
      <c r="AQ346" s="10"/>
      <c r="AR346" s="10"/>
      <c r="AS346" s="8"/>
      <c r="AT346" s="8"/>
      <c r="AU346" s="8"/>
    </row>
    <row r="347" spans="20:47" x14ac:dyDescent="0.4">
      <c r="T347" s="5"/>
      <c r="U347" s="8"/>
      <c r="V347" s="8"/>
      <c r="X347" s="5"/>
      <c r="AB347" s="5"/>
      <c r="AC347" s="8"/>
      <c r="AD347" s="8"/>
      <c r="AE347" s="8"/>
      <c r="AF347" s="8"/>
      <c r="AI347" s="9"/>
      <c r="AN347" s="9"/>
      <c r="AP347" s="8"/>
      <c r="AQ347" s="10"/>
      <c r="AR347" s="10"/>
      <c r="AS347" s="8"/>
      <c r="AT347" s="8"/>
      <c r="AU347" s="8"/>
    </row>
    <row r="348" spans="20:47" x14ac:dyDescent="0.4">
      <c r="T348" s="5"/>
      <c r="U348" s="8"/>
      <c r="V348" s="8"/>
      <c r="X348" s="5"/>
      <c r="AB348" s="5"/>
      <c r="AC348" s="8"/>
      <c r="AD348" s="8"/>
      <c r="AE348" s="8"/>
      <c r="AF348" s="8"/>
      <c r="AI348" s="9"/>
      <c r="AN348" s="9"/>
      <c r="AP348" s="8"/>
      <c r="AQ348" s="10"/>
      <c r="AR348" s="10"/>
      <c r="AS348" s="8"/>
      <c r="AT348" s="8"/>
      <c r="AU348" s="8"/>
    </row>
    <row r="349" spans="20:47" x14ac:dyDescent="0.4">
      <c r="T349" s="5"/>
      <c r="U349" s="8"/>
      <c r="V349" s="8"/>
      <c r="X349" s="5"/>
      <c r="AB349" s="5"/>
      <c r="AC349" s="8"/>
      <c r="AD349" s="8"/>
      <c r="AE349" s="8"/>
      <c r="AF349" s="8"/>
      <c r="AI349" s="9"/>
      <c r="AN349" s="9"/>
      <c r="AP349" s="8"/>
      <c r="AQ349" s="10"/>
      <c r="AR349" s="10"/>
      <c r="AS349" s="8"/>
      <c r="AT349" s="8"/>
      <c r="AU349" s="8"/>
    </row>
    <row r="350" spans="20:47" x14ac:dyDescent="0.4">
      <c r="T350" s="5"/>
      <c r="U350" s="8"/>
      <c r="V350" s="8"/>
      <c r="X350" s="5"/>
      <c r="AB350" s="5"/>
      <c r="AC350" s="8"/>
      <c r="AD350" s="8"/>
      <c r="AE350" s="8"/>
      <c r="AF350" s="8"/>
      <c r="AI350" s="9"/>
      <c r="AN350" s="9"/>
      <c r="AP350" s="8"/>
      <c r="AQ350" s="10"/>
      <c r="AR350" s="10"/>
      <c r="AS350" s="8"/>
      <c r="AT350" s="8"/>
      <c r="AU350" s="8"/>
    </row>
    <row r="351" spans="20:47" x14ac:dyDescent="0.4">
      <c r="T351" s="5"/>
      <c r="U351" s="8"/>
      <c r="V351" s="8"/>
      <c r="X351" s="5"/>
      <c r="AB351" s="5"/>
      <c r="AC351" s="8"/>
      <c r="AD351" s="8"/>
      <c r="AE351" s="8"/>
      <c r="AF351" s="8"/>
      <c r="AI351" s="9"/>
      <c r="AN351" s="9"/>
      <c r="AP351" s="8"/>
      <c r="AQ351" s="10"/>
      <c r="AR351" s="10"/>
      <c r="AS351" s="8"/>
      <c r="AT351" s="8"/>
      <c r="AU351" s="8"/>
    </row>
    <row r="352" spans="20:47" x14ac:dyDescent="0.4">
      <c r="T352" s="5"/>
      <c r="U352" s="8"/>
      <c r="V352" s="8"/>
      <c r="X352" s="5"/>
      <c r="AB352" s="5"/>
      <c r="AC352" s="8"/>
      <c r="AD352" s="8"/>
      <c r="AE352" s="8"/>
      <c r="AF352" s="8"/>
      <c r="AI352" s="9"/>
      <c r="AN352" s="9"/>
      <c r="AP352" s="8"/>
      <c r="AQ352" s="10"/>
      <c r="AR352" s="10"/>
      <c r="AS352" s="8"/>
      <c r="AT352" s="8"/>
      <c r="AU352" s="8"/>
    </row>
    <row r="353" spans="20:47" x14ac:dyDescent="0.4">
      <c r="T353" s="5"/>
      <c r="U353" s="8"/>
      <c r="V353" s="8"/>
      <c r="X353" s="5"/>
      <c r="AB353" s="5"/>
      <c r="AC353" s="8"/>
      <c r="AD353" s="8"/>
      <c r="AE353" s="8"/>
      <c r="AF353" s="8"/>
      <c r="AI353" s="9"/>
      <c r="AN353" s="9"/>
      <c r="AP353" s="8"/>
      <c r="AQ353" s="10"/>
      <c r="AR353" s="10"/>
      <c r="AS353" s="8"/>
      <c r="AT353" s="8"/>
      <c r="AU353" s="8"/>
    </row>
    <row r="354" spans="20:47" x14ac:dyDescent="0.4">
      <c r="T354" s="5"/>
      <c r="U354" s="8"/>
      <c r="V354" s="8"/>
      <c r="X354" s="5"/>
      <c r="AB354" s="5"/>
      <c r="AC354" s="8"/>
      <c r="AD354" s="8"/>
      <c r="AE354" s="8"/>
      <c r="AF354" s="8"/>
      <c r="AI354" s="9"/>
      <c r="AN354" s="9"/>
      <c r="AP354" s="8"/>
      <c r="AQ354" s="10"/>
      <c r="AR354" s="10"/>
      <c r="AS354" s="8"/>
      <c r="AT354" s="8"/>
      <c r="AU354" s="8"/>
    </row>
    <row r="355" spans="20:47" x14ac:dyDescent="0.4">
      <c r="T355" s="5"/>
      <c r="U355" s="8"/>
      <c r="V355" s="8"/>
      <c r="X355" s="5"/>
      <c r="AB355" s="5"/>
      <c r="AC355" s="8"/>
      <c r="AD355" s="8"/>
      <c r="AE355" s="8"/>
      <c r="AF355" s="8"/>
      <c r="AI355" s="9"/>
      <c r="AN355" s="9"/>
      <c r="AP355" s="8"/>
      <c r="AQ355" s="10"/>
      <c r="AR355" s="10"/>
      <c r="AS355" s="8"/>
      <c r="AT355" s="8"/>
      <c r="AU355" s="8"/>
    </row>
    <row r="356" spans="20:47" x14ac:dyDescent="0.4">
      <c r="T356" s="5"/>
      <c r="U356" s="8"/>
      <c r="V356" s="8"/>
      <c r="X356" s="5"/>
      <c r="AB356" s="5"/>
      <c r="AC356" s="8"/>
      <c r="AD356" s="8"/>
      <c r="AE356" s="8"/>
      <c r="AF356" s="8"/>
      <c r="AI356" s="9"/>
      <c r="AN356" s="9"/>
      <c r="AP356" s="8"/>
      <c r="AQ356" s="10"/>
      <c r="AR356" s="10"/>
      <c r="AS356" s="8"/>
      <c r="AT356" s="8"/>
      <c r="AU356" s="8"/>
    </row>
    <row r="357" spans="20:47" x14ac:dyDescent="0.4">
      <c r="T357" s="5"/>
      <c r="U357" s="8"/>
      <c r="V357" s="8"/>
      <c r="X357" s="5"/>
      <c r="AB357" s="5"/>
      <c r="AC357" s="8"/>
      <c r="AD357" s="8"/>
      <c r="AE357" s="8"/>
      <c r="AF357" s="8"/>
      <c r="AI357" s="9"/>
      <c r="AN357" s="9"/>
      <c r="AP357" s="8"/>
      <c r="AQ357" s="10"/>
      <c r="AR357" s="10"/>
      <c r="AS357" s="8"/>
      <c r="AT357" s="8"/>
      <c r="AU357" s="8"/>
    </row>
    <row r="358" spans="20:47" x14ac:dyDescent="0.4">
      <c r="T358" s="5"/>
      <c r="U358" s="8"/>
      <c r="V358" s="8"/>
      <c r="X358" s="5"/>
      <c r="AB358" s="5"/>
      <c r="AC358" s="8"/>
      <c r="AD358" s="8"/>
      <c r="AE358" s="8"/>
      <c r="AF358" s="8"/>
      <c r="AI358" s="9"/>
      <c r="AN358" s="9"/>
      <c r="AP358" s="8"/>
      <c r="AQ358" s="10"/>
      <c r="AR358" s="10"/>
      <c r="AS358" s="8"/>
      <c r="AT358" s="8"/>
      <c r="AU358" s="8"/>
    </row>
    <row r="359" spans="20:47" x14ac:dyDescent="0.4">
      <c r="T359" s="5"/>
      <c r="U359" s="8"/>
      <c r="V359" s="8"/>
      <c r="X359" s="5"/>
      <c r="AB359" s="5"/>
      <c r="AC359" s="8"/>
      <c r="AD359" s="8"/>
      <c r="AE359" s="8"/>
      <c r="AF359" s="8"/>
      <c r="AI359" s="9"/>
      <c r="AN359" s="9"/>
      <c r="AP359" s="8"/>
      <c r="AQ359" s="10"/>
      <c r="AR359" s="10"/>
      <c r="AS359" s="8"/>
      <c r="AT359" s="8"/>
      <c r="AU359" s="8"/>
    </row>
    <row r="360" spans="20:47" x14ac:dyDescent="0.4">
      <c r="T360" s="5"/>
      <c r="U360" s="8"/>
      <c r="V360" s="8"/>
      <c r="X360" s="5"/>
      <c r="AB360" s="5"/>
      <c r="AC360" s="8"/>
      <c r="AD360" s="8"/>
      <c r="AE360" s="8"/>
      <c r="AF360" s="8"/>
      <c r="AI360" s="9"/>
      <c r="AN360" s="9"/>
      <c r="AP360" s="8"/>
      <c r="AQ360" s="10"/>
      <c r="AR360" s="10"/>
      <c r="AS360" s="8"/>
      <c r="AT360" s="8"/>
      <c r="AU360" s="8"/>
    </row>
    <row r="361" spans="20:47" x14ac:dyDescent="0.4">
      <c r="T361" s="5"/>
      <c r="U361" s="8"/>
      <c r="V361" s="8"/>
      <c r="X361" s="5"/>
      <c r="AB361" s="5"/>
      <c r="AC361" s="8"/>
      <c r="AD361" s="8"/>
      <c r="AE361" s="8"/>
      <c r="AF361" s="8"/>
      <c r="AI361" s="9"/>
      <c r="AN361" s="9"/>
      <c r="AP361" s="8"/>
      <c r="AQ361" s="10"/>
      <c r="AR361" s="10"/>
      <c r="AS361" s="8"/>
      <c r="AT361" s="8"/>
      <c r="AU361" s="8"/>
    </row>
    <row r="362" spans="20:47" x14ac:dyDescent="0.4">
      <c r="T362" s="5"/>
      <c r="U362" s="8"/>
      <c r="V362" s="8"/>
      <c r="X362" s="5"/>
      <c r="AB362" s="5"/>
      <c r="AC362" s="8"/>
      <c r="AD362" s="8"/>
      <c r="AE362" s="8"/>
      <c r="AF362" s="8"/>
      <c r="AI362" s="9"/>
      <c r="AN362" s="9"/>
      <c r="AP362" s="8"/>
      <c r="AQ362" s="10"/>
      <c r="AR362" s="10"/>
      <c r="AS362" s="8"/>
      <c r="AT362" s="8"/>
      <c r="AU362" s="8"/>
    </row>
    <row r="363" spans="20:47" x14ac:dyDescent="0.4">
      <c r="T363" s="5"/>
      <c r="U363" s="8"/>
      <c r="V363" s="8"/>
      <c r="X363" s="5"/>
      <c r="AB363" s="5"/>
      <c r="AC363" s="8"/>
      <c r="AD363" s="8"/>
      <c r="AE363" s="8"/>
      <c r="AF363" s="8"/>
      <c r="AI363" s="9"/>
      <c r="AN363" s="9"/>
      <c r="AP363" s="8"/>
      <c r="AQ363" s="10"/>
      <c r="AR363" s="10"/>
      <c r="AS363" s="8"/>
      <c r="AT363" s="8"/>
      <c r="AU363" s="8"/>
    </row>
    <row r="364" spans="20:47" x14ac:dyDescent="0.4">
      <c r="T364" s="5"/>
      <c r="U364" s="8"/>
      <c r="V364" s="8"/>
      <c r="X364" s="5"/>
      <c r="AB364" s="5"/>
      <c r="AC364" s="8"/>
      <c r="AD364" s="8"/>
      <c r="AE364" s="8"/>
      <c r="AF364" s="8"/>
      <c r="AI364" s="9"/>
      <c r="AN364" s="9"/>
      <c r="AP364" s="8"/>
      <c r="AQ364" s="10"/>
      <c r="AR364" s="10"/>
      <c r="AS364" s="8"/>
      <c r="AT364" s="8"/>
      <c r="AU364" s="8"/>
    </row>
    <row r="365" spans="20:47" x14ac:dyDescent="0.4">
      <c r="T365" s="5"/>
      <c r="U365" s="8"/>
      <c r="V365" s="8"/>
      <c r="X365" s="5"/>
      <c r="AB365" s="5"/>
      <c r="AC365" s="8"/>
      <c r="AD365" s="8"/>
      <c r="AE365" s="8"/>
      <c r="AF365" s="8"/>
      <c r="AI365" s="9"/>
      <c r="AN365" s="9"/>
      <c r="AP365" s="8"/>
      <c r="AQ365" s="10"/>
      <c r="AR365" s="10"/>
      <c r="AS365" s="8"/>
      <c r="AT365" s="8"/>
      <c r="AU365" s="8"/>
    </row>
    <row r="366" spans="20:47" x14ac:dyDescent="0.4">
      <c r="T366" s="5"/>
      <c r="U366" s="8"/>
      <c r="V366" s="8"/>
      <c r="X366" s="5"/>
      <c r="AB366" s="5"/>
      <c r="AC366" s="8"/>
      <c r="AD366" s="8"/>
      <c r="AE366" s="8"/>
      <c r="AF366" s="8"/>
      <c r="AI366" s="9"/>
      <c r="AN366" s="9"/>
      <c r="AP366" s="8"/>
      <c r="AQ366" s="10"/>
      <c r="AR366" s="10"/>
      <c r="AS366" s="8"/>
      <c r="AT366" s="8"/>
      <c r="AU366" s="8"/>
    </row>
    <row r="367" spans="20:47" x14ac:dyDescent="0.4">
      <c r="T367" s="5"/>
      <c r="U367" s="8"/>
      <c r="V367" s="8"/>
      <c r="X367" s="5"/>
      <c r="AB367" s="5"/>
      <c r="AC367" s="8"/>
      <c r="AD367" s="8"/>
      <c r="AE367" s="8"/>
      <c r="AF367" s="8"/>
      <c r="AI367" s="9"/>
      <c r="AN367" s="9"/>
      <c r="AP367" s="8"/>
      <c r="AQ367" s="10"/>
      <c r="AR367" s="10"/>
      <c r="AS367" s="8"/>
      <c r="AT367" s="8"/>
      <c r="AU367" s="8"/>
    </row>
    <row r="368" spans="20:47" x14ac:dyDescent="0.4">
      <c r="T368" s="5"/>
      <c r="U368" s="8"/>
      <c r="V368" s="8"/>
      <c r="X368" s="5"/>
      <c r="AB368" s="5"/>
      <c r="AC368" s="8"/>
      <c r="AD368" s="8"/>
      <c r="AE368" s="8"/>
      <c r="AF368" s="8"/>
      <c r="AI368" s="9"/>
      <c r="AN368" s="9"/>
      <c r="AP368" s="8"/>
      <c r="AQ368" s="10"/>
      <c r="AR368" s="10"/>
      <c r="AS368" s="8"/>
      <c r="AT368" s="8"/>
      <c r="AU368" s="8"/>
    </row>
    <row r="369" spans="20:47" x14ac:dyDescent="0.4">
      <c r="T369" s="5"/>
      <c r="U369" s="8"/>
      <c r="V369" s="8"/>
      <c r="X369" s="5"/>
      <c r="AB369" s="5"/>
      <c r="AC369" s="8"/>
      <c r="AD369" s="8"/>
      <c r="AE369" s="8"/>
      <c r="AF369" s="8"/>
      <c r="AI369" s="9"/>
      <c r="AN369" s="9"/>
      <c r="AP369" s="8"/>
      <c r="AQ369" s="10"/>
      <c r="AR369" s="10"/>
      <c r="AS369" s="8"/>
      <c r="AT369" s="8"/>
      <c r="AU369" s="8"/>
    </row>
    <row r="370" spans="20:47" x14ac:dyDescent="0.4">
      <c r="T370" s="5"/>
      <c r="U370" s="8"/>
      <c r="V370" s="8"/>
      <c r="X370" s="5"/>
      <c r="AB370" s="5"/>
      <c r="AC370" s="8"/>
      <c r="AD370" s="8"/>
      <c r="AE370" s="8"/>
      <c r="AF370" s="8"/>
      <c r="AI370" s="9"/>
      <c r="AN370" s="9"/>
      <c r="AP370" s="8"/>
      <c r="AQ370" s="10"/>
      <c r="AR370" s="10"/>
      <c r="AS370" s="8"/>
      <c r="AT370" s="8"/>
      <c r="AU370" s="8"/>
    </row>
    <row r="371" spans="20:47" x14ac:dyDescent="0.4">
      <c r="T371" s="5"/>
      <c r="U371" s="8"/>
      <c r="V371" s="8"/>
      <c r="X371" s="5"/>
      <c r="AB371" s="5"/>
      <c r="AC371" s="8"/>
      <c r="AD371" s="8"/>
      <c r="AE371" s="8"/>
      <c r="AF371" s="8"/>
      <c r="AI371" s="9"/>
      <c r="AN371" s="9"/>
      <c r="AP371" s="8"/>
      <c r="AQ371" s="10"/>
      <c r="AR371" s="10"/>
      <c r="AS371" s="8"/>
      <c r="AT371" s="8"/>
      <c r="AU371" s="8"/>
    </row>
    <row r="372" spans="20:47" x14ac:dyDescent="0.4">
      <c r="T372" s="5"/>
      <c r="U372" s="8"/>
      <c r="V372" s="8"/>
      <c r="X372" s="5"/>
      <c r="AB372" s="5"/>
      <c r="AC372" s="8"/>
      <c r="AD372" s="8"/>
      <c r="AE372" s="8"/>
      <c r="AF372" s="8"/>
      <c r="AI372" s="9"/>
      <c r="AN372" s="9"/>
      <c r="AP372" s="8"/>
      <c r="AQ372" s="10"/>
      <c r="AR372" s="10"/>
      <c r="AS372" s="8"/>
      <c r="AT372" s="8"/>
      <c r="AU372" s="8"/>
    </row>
    <row r="373" spans="20:47" x14ac:dyDescent="0.4">
      <c r="T373" s="5"/>
      <c r="U373" s="8"/>
      <c r="V373" s="8"/>
      <c r="X373" s="5"/>
      <c r="AB373" s="5"/>
      <c r="AC373" s="8"/>
      <c r="AD373" s="8"/>
      <c r="AE373" s="8"/>
      <c r="AF373" s="8"/>
      <c r="AI373" s="9"/>
      <c r="AN373" s="9"/>
      <c r="AP373" s="8"/>
      <c r="AQ373" s="10"/>
      <c r="AR373" s="10"/>
      <c r="AS373" s="8"/>
      <c r="AT373" s="8"/>
      <c r="AU373" s="8"/>
    </row>
    <row r="374" spans="20:47" x14ac:dyDescent="0.4">
      <c r="T374" s="5"/>
      <c r="U374" s="8"/>
      <c r="V374" s="8"/>
      <c r="X374" s="5"/>
      <c r="AB374" s="5"/>
      <c r="AC374" s="8"/>
      <c r="AD374" s="8"/>
      <c r="AE374" s="8"/>
      <c r="AF374" s="8"/>
      <c r="AI374" s="9"/>
      <c r="AN374" s="9"/>
      <c r="AP374" s="8"/>
      <c r="AQ374" s="10"/>
      <c r="AR374" s="10"/>
      <c r="AS374" s="8"/>
      <c r="AT374" s="8"/>
      <c r="AU374" s="8"/>
    </row>
    <row r="375" spans="20:47" x14ac:dyDescent="0.4">
      <c r="T375" s="5"/>
      <c r="U375" s="8"/>
      <c r="V375" s="8"/>
      <c r="X375" s="5"/>
      <c r="AB375" s="5"/>
      <c r="AC375" s="8"/>
      <c r="AD375" s="8"/>
      <c r="AE375" s="8"/>
      <c r="AF375" s="8"/>
      <c r="AI375" s="9"/>
      <c r="AN375" s="9"/>
      <c r="AP375" s="8"/>
      <c r="AQ375" s="10"/>
      <c r="AR375" s="10"/>
      <c r="AS375" s="8"/>
      <c r="AT375" s="8"/>
      <c r="AU375" s="8"/>
    </row>
    <row r="376" spans="20:47" x14ac:dyDescent="0.4">
      <c r="T376" s="5"/>
      <c r="U376" s="8"/>
      <c r="V376" s="8"/>
      <c r="X376" s="5"/>
      <c r="AB376" s="5"/>
      <c r="AC376" s="8"/>
      <c r="AD376" s="8"/>
      <c r="AE376" s="8"/>
      <c r="AF376" s="8"/>
      <c r="AI376" s="9"/>
      <c r="AN376" s="9"/>
      <c r="AP376" s="8"/>
      <c r="AQ376" s="10"/>
      <c r="AR376" s="10"/>
      <c r="AS376" s="8"/>
      <c r="AT376" s="8"/>
      <c r="AU376" s="8"/>
    </row>
    <row r="377" spans="20:47" x14ac:dyDescent="0.4">
      <c r="T377" s="5"/>
      <c r="U377" s="8"/>
      <c r="V377" s="8"/>
      <c r="X377" s="5"/>
      <c r="AB377" s="5"/>
      <c r="AC377" s="8"/>
      <c r="AD377" s="8"/>
      <c r="AE377" s="8"/>
      <c r="AF377" s="8"/>
      <c r="AI377" s="9"/>
      <c r="AN377" s="9"/>
      <c r="AP377" s="8"/>
      <c r="AQ377" s="10"/>
      <c r="AR377" s="10"/>
      <c r="AS377" s="8"/>
      <c r="AT377" s="8"/>
      <c r="AU377" s="8"/>
    </row>
    <row r="378" spans="20:47" x14ac:dyDescent="0.4">
      <c r="T378" s="5"/>
      <c r="U378" s="8"/>
      <c r="V378" s="8"/>
      <c r="X378" s="5"/>
      <c r="AB378" s="5"/>
      <c r="AC378" s="8"/>
      <c r="AD378" s="8"/>
      <c r="AE378" s="8"/>
      <c r="AF378" s="8"/>
      <c r="AI378" s="9"/>
      <c r="AN378" s="9"/>
      <c r="AP378" s="8"/>
      <c r="AQ378" s="10"/>
      <c r="AR378" s="10"/>
      <c r="AS378" s="8"/>
      <c r="AT378" s="8"/>
      <c r="AU378" s="8"/>
    </row>
    <row r="379" spans="20:47" x14ac:dyDescent="0.4">
      <c r="T379" s="5"/>
      <c r="U379" s="8"/>
      <c r="V379" s="8"/>
      <c r="X379" s="5"/>
      <c r="AB379" s="5"/>
      <c r="AC379" s="8"/>
      <c r="AD379" s="8"/>
      <c r="AE379" s="8"/>
      <c r="AF379" s="8"/>
      <c r="AI379" s="9"/>
      <c r="AN379" s="9"/>
      <c r="AP379" s="8"/>
      <c r="AQ379" s="10"/>
      <c r="AR379" s="10"/>
      <c r="AS379" s="8"/>
      <c r="AT379" s="8"/>
      <c r="AU379" s="8"/>
    </row>
    <row r="380" spans="20:47" x14ac:dyDescent="0.4">
      <c r="T380" s="5"/>
      <c r="U380" s="8"/>
      <c r="V380" s="8"/>
      <c r="X380" s="5"/>
      <c r="AB380" s="5"/>
      <c r="AC380" s="8"/>
      <c r="AD380" s="8"/>
      <c r="AE380" s="8"/>
      <c r="AF380" s="8"/>
      <c r="AI380" s="9"/>
      <c r="AN380" s="9"/>
      <c r="AP380" s="8"/>
      <c r="AQ380" s="10"/>
      <c r="AR380" s="10"/>
      <c r="AS380" s="8"/>
      <c r="AT380" s="8"/>
      <c r="AU380" s="8"/>
    </row>
    <row r="381" spans="20:47" x14ac:dyDescent="0.4">
      <c r="T381" s="5"/>
      <c r="U381" s="8"/>
      <c r="V381" s="8"/>
      <c r="X381" s="5"/>
      <c r="AB381" s="5"/>
      <c r="AC381" s="8"/>
      <c r="AD381" s="8"/>
      <c r="AE381" s="8"/>
      <c r="AF381" s="8"/>
      <c r="AI381" s="9"/>
      <c r="AN381" s="9"/>
      <c r="AP381" s="8"/>
      <c r="AQ381" s="10"/>
      <c r="AR381" s="10"/>
      <c r="AS381" s="8"/>
      <c r="AT381" s="8"/>
      <c r="AU381" s="8"/>
    </row>
    <row r="382" spans="20:47" x14ac:dyDescent="0.4">
      <c r="T382" s="5"/>
      <c r="U382" s="8"/>
      <c r="V382" s="8"/>
      <c r="X382" s="5"/>
      <c r="AB382" s="5"/>
      <c r="AC382" s="8"/>
      <c r="AD382" s="8"/>
      <c r="AE382" s="8"/>
      <c r="AF382" s="8"/>
      <c r="AI382" s="9"/>
      <c r="AN382" s="9"/>
      <c r="AP382" s="8"/>
      <c r="AQ382" s="10"/>
      <c r="AR382" s="10"/>
      <c r="AS382" s="8"/>
      <c r="AT382" s="8"/>
      <c r="AU382" s="8"/>
    </row>
    <row r="383" spans="20:47" x14ac:dyDescent="0.4">
      <c r="T383" s="5"/>
      <c r="U383" s="8"/>
      <c r="V383" s="8"/>
      <c r="X383" s="5"/>
      <c r="AB383" s="5"/>
      <c r="AC383" s="8"/>
      <c r="AD383" s="8"/>
      <c r="AE383" s="8"/>
      <c r="AF383" s="8"/>
      <c r="AI383" s="9"/>
      <c r="AN383" s="9"/>
      <c r="AP383" s="8"/>
      <c r="AQ383" s="10"/>
      <c r="AR383" s="10"/>
      <c r="AS383" s="8"/>
      <c r="AT383" s="8"/>
      <c r="AU383" s="8"/>
    </row>
    <row r="384" spans="20:47" x14ac:dyDescent="0.4">
      <c r="T384" s="5"/>
      <c r="U384" s="8"/>
      <c r="V384" s="8"/>
      <c r="X384" s="5"/>
      <c r="AB384" s="5"/>
      <c r="AC384" s="8"/>
      <c r="AD384" s="8"/>
      <c r="AE384" s="8"/>
      <c r="AF384" s="8"/>
      <c r="AI384" s="9"/>
      <c r="AN384" s="9"/>
      <c r="AP384" s="8"/>
      <c r="AQ384" s="10"/>
      <c r="AR384" s="10"/>
      <c r="AS384" s="8"/>
      <c r="AT384" s="8"/>
      <c r="AU384" s="8"/>
    </row>
    <row r="385" spans="20:47" x14ac:dyDescent="0.4">
      <c r="T385" s="5"/>
      <c r="U385" s="8"/>
      <c r="V385" s="8"/>
      <c r="X385" s="5"/>
      <c r="AB385" s="5"/>
      <c r="AC385" s="8"/>
      <c r="AD385" s="8"/>
      <c r="AE385" s="8"/>
      <c r="AF385" s="8"/>
      <c r="AI385" s="9"/>
      <c r="AN385" s="9"/>
      <c r="AP385" s="8"/>
      <c r="AQ385" s="10"/>
      <c r="AR385" s="10"/>
      <c r="AS385" s="8"/>
      <c r="AT385" s="8"/>
      <c r="AU385" s="8"/>
    </row>
    <row r="386" spans="20:47" x14ac:dyDescent="0.4">
      <c r="T386" s="5"/>
      <c r="U386" s="8"/>
      <c r="V386" s="8"/>
      <c r="X386" s="5"/>
      <c r="AB386" s="5"/>
      <c r="AC386" s="8"/>
      <c r="AD386" s="8"/>
      <c r="AE386" s="8"/>
      <c r="AF386" s="8"/>
      <c r="AI386" s="9"/>
      <c r="AN386" s="9"/>
      <c r="AP386" s="8"/>
      <c r="AQ386" s="10"/>
      <c r="AR386" s="10"/>
      <c r="AS386" s="8"/>
      <c r="AT386" s="8"/>
      <c r="AU386" s="8"/>
    </row>
    <row r="387" spans="20:47" x14ac:dyDescent="0.4">
      <c r="T387" s="5"/>
      <c r="U387" s="8"/>
      <c r="V387" s="8"/>
      <c r="X387" s="5"/>
      <c r="AB387" s="5"/>
      <c r="AC387" s="8"/>
      <c r="AD387" s="8"/>
      <c r="AE387" s="8"/>
      <c r="AF387" s="8"/>
      <c r="AI387" s="9"/>
      <c r="AN387" s="9"/>
      <c r="AP387" s="8"/>
      <c r="AQ387" s="10"/>
      <c r="AR387" s="10"/>
      <c r="AS387" s="8"/>
      <c r="AT387" s="8"/>
      <c r="AU387" s="8"/>
    </row>
    <row r="388" spans="20:47" x14ac:dyDescent="0.4">
      <c r="T388" s="5"/>
      <c r="U388" s="8"/>
      <c r="V388" s="8"/>
      <c r="X388" s="5"/>
      <c r="AB388" s="5"/>
      <c r="AC388" s="8"/>
      <c r="AD388" s="8"/>
      <c r="AE388" s="8"/>
      <c r="AF388" s="8"/>
      <c r="AI388" s="9"/>
      <c r="AN388" s="9"/>
      <c r="AP388" s="8"/>
      <c r="AQ388" s="10"/>
      <c r="AR388" s="10"/>
      <c r="AS388" s="8"/>
      <c r="AT388" s="8"/>
      <c r="AU388" s="8"/>
    </row>
    <row r="389" spans="20:47" x14ac:dyDescent="0.4">
      <c r="T389" s="5"/>
      <c r="U389" s="8"/>
      <c r="V389" s="8"/>
      <c r="X389" s="5"/>
      <c r="AB389" s="5"/>
      <c r="AC389" s="8"/>
      <c r="AD389" s="8"/>
      <c r="AE389" s="8"/>
      <c r="AF389" s="8"/>
      <c r="AI389" s="9"/>
      <c r="AN389" s="9"/>
      <c r="AP389" s="8"/>
      <c r="AQ389" s="10"/>
      <c r="AR389" s="10"/>
      <c r="AS389" s="8"/>
      <c r="AT389" s="8"/>
      <c r="AU389" s="8"/>
    </row>
    <row r="390" spans="20:47" x14ac:dyDescent="0.4">
      <c r="T390" s="5"/>
      <c r="U390" s="8"/>
      <c r="V390" s="8"/>
      <c r="X390" s="5"/>
      <c r="AB390" s="5"/>
      <c r="AC390" s="8"/>
      <c r="AD390" s="8"/>
      <c r="AE390" s="8"/>
      <c r="AF390" s="8"/>
      <c r="AI390" s="9"/>
      <c r="AN390" s="9"/>
      <c r="AP390" s="8"/>
      <c r="AQ390" s="10"/>
      <c r="AR390" s="10"/>
      <c r="AS390" s="8"/>
      <c r="AT390" s="8"/>
      <c r="AU390" s="8"/>
    </row>
    <row r="391" spans="20:47" x14ac:dyDescent="0.4">
      <c r="T391" s="5"/>
      <c r="U391" s="8"/>
      <c r="V391" s="8"/>
      <c r="X391" s="5"/>
      <c r="AB391" s="5"/>
      <c r="AC391" s="8"/>
      <c r="AD391" s="8"/>
      <c r="AE391" s="8"/>
      <c r="AF391" s="8"/>
      <c r="AI391" s="9"/>
      <c r="AN391" s="9"/>
      <c r="AP391" s="8"/>
      <c r="AQ391" s="10"/>
      <c r="AR391" s="10"/>
      <c r="AS391" s="8"/>
      <c r="AT391" s="8"/>
      <c r="AU391" s="8"/>
    </row>
    <row r="392" spans="20:47" x14ac:dyDescent="0.4">
      <c r="T392" s="5"/>
      <c r="U392" s="8"/>
      <c r="V392" s="8"/>
      <c r="X392" s="5"/>
      <c r="AB392" s="5"/>
      <c r="AC392" s="8"/>
      <c r="AD392" s="8"/>
      <c r="AE392" s="8"/>
      <c r="AF392" s="8"/>
      <c r="AI392" s="9"/>
      <c r="AN392" s="9"/>
      <c r="AP392" s="8"/>
      <c r="AQ392" s="10"/>
      <c r="AR392" s="10"/>
      <c r="AS392" s="8"/>
      <c r="AT392" s="8"/>
      <c r="AU392" s="8"/>
    </row>
    <row r="393" spans="20:47" x14ac:dyDescent="0.4">
      <c r="T393" s="5"/>
      <c r="U393" s="8"/>
      <c r="V393" s="8"/>
      <c r="X393" s="5"/>
      <c r="AB393" s="5"/>
      <c r="AC393" s="8"/>
      <c r="AD393" s="8"/>
      <c r="AE393" s="8"/>
      <c r="AF393" s="8"/>
      <c r="AI393" s="9"/>
      <c r="AN393" s="9"/>
      <c r="AP393" s="8"/>
      <c r="AQ393" s="10"/>
      <c r="AR393" s="10"/>
      <c r="AS393" s="8"/>
      <c r="AT393" s="8"/>
      <c r="AU393" s="8"/>
    </row>
    <row r="394" spans="20:47" x14ac:dyDescent="0.4">
      <c r="T394" s="5"/>
      <c r="U394" s="8"/>
      <c r="V394" s="8"/>
      <c r="X394" s="5"/>
      <c r="AB394" s="5"/>
      <c r="AC394" s="8"/>
      <c r="AD394" s="8"/>
      <c r="AE394" s="8"/>
      <c r="AF394" s="8"/>
      <c r="AI394" s="9"/>
      <c r="AN394" s="9"/>
      <c r="AP394" s="8"/>
      <c r="AQ394" s="10"/>
      <c r="AR394" s="10"/>
      <c r="AS394" s="8"/>
      <c r="AT394" s="8"/>
      <c r="AU394" s="8"/>
    </row>
    <row r="395" spans="20:47" x14ac:dyDescent="0.4">
      <c r="T395" s="5"/>
      <c r="U395" s="8"/>
      <c r="V395" s="8"/>
      <c r="X395" s="5"/>
      <c r="AB395" s="5"/>
      <c r="AC395" s="8"/>
      <c r="AD395" s="8"/>
      <c r="AE395" s="8"/>
      <c r="AF395" s="8"/>
      <c r="AI395" s="9"/>
      <c r="AN395" s="9"/>
      <c r="AP395" s="8"/>
      <c r="AQ395" s="10"/>
      <c r="AR395" s="10"/>
      <c r="AS395" s="8"/>
      <c r="AT395" s="8"/>
      <c r="AU395" s="8"/>
    </row>
    <row r="396" spans="20:47" x14ac:dyDescent="0.4">
      <c r="T396" s="5"/>
      <c r="U396" s="8"/>
      <c r="V396" s="8"/>
      <c r="X396" s="5"/>
      <c r="AB396" s="5"/>
      <c r="AC396" s="8"/>
      <c r="AD396" s="8"/>
      <c r="AE396" s="8"/>
      <c r="AF396" s="8"/>
      <c r="AI396" s="9"/>
      <c r="AN396" s="9"/>
      <c r="AP396" s="8"/>
      <c r="AQ396" s="10"/>
      <c r="AR396" s="10"/>
      <c r="AS396" s="8"/>
      <c r="AT396" s="8"/>
      <c r="AU396" s="8"/>
    </row>
    <row r="397" spans="20:47" x14ac:dyDescent="0.4">
      <c r="T397" s="5"/>
      <c r="U397" s="8"/>
      <c r="V397" s="8"/>
      <c r="X397" s="5"/>
      <c r="AB397" s="5"/>
      <c r="AC397" s="8"/>
      <c r="AD397" s="8"/>
      <c r="AE397" s="8"/>
      <c r="AF397" s="8"/>
      <c r="AI397" s="9"/>
      <c r="AN397" s="9"/>
      <c r="AP397" s="8"/>
      <c r="AQ397" s="10"/>
      <c r="AR397" s="10"/>
      <c r="AS397" s="8"/>
      <c r="AT397" s="8"/>
      <c r="AU397" s="8"/>
    </row>
    <row r="398" spans="20:47" x14ac:dyDescent="0.4">
      <c r="T398" s="5"/>
      <c r="U398" s="8"/>
      <c r="V398" s="8"/>
      <c r="X398" s="5"/>
      <c r="AB398" s="5"/>
      <c r="AC398" s="8"/>
      <c r="AD398" s="8"/>
      <c r="AE398" s="8"/>
      <c r="AF398" s="8"/>
      <c r="AI398" s="9"/>
      <c r="AN398" s="9"/>
      <c r="AP398" s="8"/>
      <c r="AQ398" s="10"/>
      <c r="AR398" s="10"/>
      <c r="AS398" s="8"/>
      <c r="AT398" s="8"/>
      <c r="AU398" s="8"/>
    </row>
    <row r="399" spans="20:47" x14ac:dyDescent="0.4">
      <c r="T399" s="5"/>
      <c r="U399" s="8"/>
      <c r="V399" s="8"/>
      <c r="X399" s="5"/>
      <c r="AB399" s="5"/>
      <c r="AC399" s="8"/>
      <c r="AD399" s="8"/>
      <c r="AE399" s="8"/>
      <c r="AF399" s="8"/>
      <c r="AI399" s="9"/>
      <c r="AN399" s="9"/>
      <c r="AP399" s="8"/>
      <c r="AQ399" s="10"/>
      <c r="AR399" s="10"/>
      <c r="AS399" s="8"/>
      <c r="AT399" s="8"/>
      <c r="AU399" s="8"/>
    </row>
    <row r="400" spans="20:47" x14ac:dyDescent="0.4">
      <c r="T400" s="5"/>
      <c r="U400" s="8"/>
      <c r="V400" s="8"/>
      <c r="X400" s="5"/>
      <c r="AB400" s="5"/>
      <c r="AC400" s="8"/>
      <c r="AD400" s="8"/>
      <c r="AE400" s="8"/>
      <c r="AF400" s="8"/>
      <c r="AI400" s="9"/>
      <c r="AN400" s="9"/>
      <c r="AP400" s="8"/>
      <c r="AQ400" s="10"/>
      <c r="AR400" s="10"/>
      <c r="AS400" s="8"/>
      <c r="AT400" s="8"/>
      <c r="AU400" s="8"/>
    </row>
    <row r="401" spans="20:47" x14ac:dyDescent="0.4">
      <c r="T401" s="5"/>
      <c r="U401" s="8"/>
      <c r="V401" s="8"/>
      <c r="X401" s="5"/>
      <c r="AB401" s="5"/>
      <c r="AC401" s="8"/>
      <c r="AD401" s="8"/>
      <c r="AE401" s="8"/>
      <c r="AF401" s="8"/>
      <c r="AI401" s="9"/>
      <c r="AN401" s="9"/>
      <c r="AP401" s="8"/>
      <c r="AQ401" s="10"/>
      <c r="AR401" s="10"/>
      <c r="AS401" s="8"/>
      <c r="AT401" s="8"/>
      <c r="AU401" s="8"/>
    </row>
    <row r="402" spans="20:47" x14ac:dyDescent="0.4">
      <c r="T402" s="5"/>
      <c r="U402" s="8"/>
      <c r="V402" s="8"/>
      <c r="X402" s="5"/>
      <c r="AB402" s="5"/>
      <c r="AC402" s="8"/>
      <c r="AD402" s="8"/>
      <c r="AE402" s="8"/>
      <c r="AF402" s="8"/>
      <c r="AI402" s="9"/>
      <c r="AN402" s="9"/>
      <c r="AP402" s="8"/>
      <c r="AQ402" s="10"/>
      <c r="AR402" s="10"/>
      <c r="AS402" s="8"/>
      <c r="AT402" s="8"/>
      <c r="AU402" s="8"/>
    </row>
    <row r="403" spans="20:47" x14ac:dyDescent="0.4">
      <c r="T403" s="5"/>
      <c r="U403" s="8"/>
      <c r="V403" s="8"/>
      <c r="X403" s="5"/>
      <c r="AB403" s="5"/>
      <c r="AC403" s="8"/>
      <c r="AD403" s="8"/>
      <c r="AE403" s="8"/>
      <c r="AF403" s="8"/>
      <c r="AI403" s="9"/>
      <c r="AN403" s="9"/>
      <c r="AP403" s="8"/>
      <c r="AQ403" s="10"/>
      <c r="AR403" s="10"/>
      <c r="AS403" s="8"/>
      <c r="AT403" s="8"/>
      <c r="AU403" s="8"/>
    </row>
    <row r="404" spans="20:47" x14ac:dyDescent="0.4">
      <c r="T404" s="5"/>
      <c r="U404" s="8"/>
      <c r="V404" s="8"/>
      <c r="X404" s="5"/>
      <c r="AB404" s="5"/>
      <c r="AC404" s="8"/>
      <c r="AD404" s="8"/>
      <c r="AE404" s="8"/>
      <c r="AF404" s="8"/>
      <c r="AI404" s="9"/>
      <c r="AN404" s="9"/>
      <c r="AP404" s="8"/>
      <c r="AQ404" s="10"/>
      <c r="AR404" s="10"/>
      <c r="AS404" s="8"/>
      <c r="AT404" s="8"/>
      <c r="AU404" s="8"/>
    </row>
    <row r="405" spans="20:47" x14ac:dyDescent="0.4">
      <c r="T405" s="5"/>
      <c r="U405" s="8"/>
      <c r="V405" s="8"/>
      <c r="X405" s="5"/>
      <c r="AB405" s="5"/>
      <c r="AC405" s="8"/>
      <c r="AD405" s="8"/>
      <c r="AE405" s="8"/>
      <c r="AF405" s="8"/>
      <c r="AI405" s="9"/>
      <c r="AN405" s="9"/>
      <c r="AP405" s="8"/>
      <c r="AQ405" s="10"/>
      <c r="AR405" s="10"/>
      <c r="AS405" s="8"/>
      <c r="AT405" s="8"/>
      <c r="AU405" s="8"/>
    </row>
    <row r="406" spans="20:47" x14ac:dyDescent="0.4">
      <c r="T406" s="5"/>
      <c r="U406" s="8"/>
      <c r="V406" s="8"/>
      <c r="X406" s="5"/>
      <c r="AB406" s="5"/>
      <c r="AC406" s="8"/>
      <c r="AD406" s="8"/>
      <c r="AE406" s="8"/>
      <c r="AF406" s="8"/>
      <c r="AI406" s="9"/>
      <c r="AN406" s="9"/>
      <c r="AP406" s="8"/>
      <c r="AQ406" s="10"/>
      <c r="AR406" s="10"/>
      <c r="AS406" s="8"/>
      <c r="AT406" s="8"/>
      <c r="AU406" s="8"/>
    </row>
    <row r="407" spans="20:47" x14ac:dyDescent="0.4">
      <c r="T407" s="5"/>
      <c r="U407" s="8"/>
      <c r="V407" s="8"/>
      <c r="X407" s="5"/>
      <c r="AB407" s="5"/>
      <c r="AC407" s="8"/>
      <c r="AD407" s="8"/>
      <c r="AE407" s="8"/>
      <c r="AF407" s="8"/>
      <c r="AI407" s="9"/>
      <c r="AN407" s="9"/>
      <c r="AP407" s="8"/>
      <c r="AQ407" s="10"/>
      <c r="AR407" s="10"/>
      <c r="AS407" s="8"/>
      <c r="AT407" s="8"/>
      <c r="AU407" s="8"/>
    </row>
    <row r="408" spans="20:47" x14ac:dyDescent="0.4">
      <c r="T408" s="5"/>
      <c r="U408" s="8"/>
      <c r="V408" s="8"/>
      <c r="X408" s="5"/>
      <c r="AB408" s="5"/>
      <c r="AC408" s="8"/>
      <c r="AD408" s="8"/>
      <c r="AE408" s="8"/>
      <c r="AF408" s="8"/>
      <c r="AI408" s="9"/>
      <c r="AN408" s="9"/>
      <c r="AP408" s="8"/>
      <c r="AQ408" s="10"/>
      <c r="AR408" s="10"/>
      <c r="AS408" s="8"/>
      <c r="AT408" s="8"/>
      <c r="AU408" s="8"/>
    </row>
    <row r="409" spans="20:47" x14ac:dyDescent="0.4">
      <c r="T409" s="5"/>
      <c r="U409" s="8"/>
      <c r="V409" s="8"/>
      <c r="X409" s="5"/>
      <c r="AB409" s="5"/>
      <c r="AC409" s="8"/>
      <c r="AD409" s="8"/>
      <c r="AE409" s="8"/>
      <c r="AF409" s="8"/>
      <c r="AI409" s="9"/>
      <c r="AN409" s="9"/>
      <c r="AP409" s="8"/>
      <c r="AQ409" s="10"/>
      <c r="AR409" s="10"/>
      <c r="AS409" s="8"/>
      <c r="AT409" s="8"/>
      <c r="AU409" s="8"/>
    </row>
    <row r="410" spans="20:47" x14ac:dyDescent="0.4">
      <c r="T410" s="5"/>
      <c r="U410" s="8"/>
      <c r="V410" s="8"/>
      <c r="X410" s="5"/>
      <c r="AB410" s="5"/>
      <c r="AC410" s="8"/>
      <c r="AD410" s="8"/>
      <c r="AE410" s="8"/>
      <c r="AF410" s="8"/>
      <c r="AI410" s="9"/>
      <c r="AN410" s="9"/>
      <c r="AP410" s="8"/>
      <c r="AQ410" s="10"/>
      <c r="AR410" s="10"/>
      <c r="AS410" s="8"/>
      <c r="AT410" s="8"/>
      <c r="AU410" s="8"/>
    </row>
    <row r="411" spans="20:47" x14ac:dyDescent="0.4">
      <c r="T411" s="5"/>
      <c r="U411" s="8"/>
      <c r="V411" s="8"/>
      <c r="X411" s="5"/>
      <c r="AB411" s="5"/>
      <c r="AC411" s="8"/>
      <c r="AD411" s="8"/>
      <c r="AE411" s="8"/>
      <c r="AF411" s="8"/>
      <c r="AI411" s="9"/>
      <c r="AN411" s="9"/>
      <c r="AP411" s="8"/>
      <c r="AQ411" s="10"/>
      <c r="AR411" s="10"/>
      <c r="AS411" s="8"/>
      <c r="AT411" s="8"/>
      <c r="AU411" s="8"/>
    </row>
    <row r="412" spans="20:47" x14ac:dyDescent="0.4">
      <c r="T412" s="5"/>
      <c r="U412" s="8"/>
      <c r="V412" s="8"/>
      <c r="X412" s="5"/>
      <c r="AB412" s="5"/>
      <c r="AC412" s="8"/>
      <c r="AD412" s="8"/>
      <c r="AE412" s="8"/>
      <c r="AF412" s="8"/>
      <c r="AI412" s="9"/>
      <c r="AN412" s="9"/>
      <c r="AP412" s="8"/>
      <c r="AQ412" s="10"/>
      <c r="AR412" s="10"/>
      <c r="AS412" s="8"/>
      <c r="AT412" s="8"/>
      <c r="AU412" s="8"/>
    </row>
    <row r="413" spans="20:47" x14ac:dyDescent="0.4">
      <c r="T413" s="5"/>
      <c r="U413" s="8"/>
      <c r="V413" s="8"/>
      <c r="X413" s="5"/>
      <c r="AB413" s="5"/>
      <c r="AC413" s="8"/>
      <c r="AD413" s="8"/>
      <c r="AE413" s="8"/>
      <c r="AF413" s="8"/>
      <c r="AI413" s="9"/>
      <c r="AN413" s="9"/>
      <c r="AP413" s="8"/>
      <c r="AQ413" s="10"/>
      <c r="AR413" s="10"/>
      <c r="AS413" s="8"/>
      <c r="AT413" s="8"/>
      <c r="AU413" s="8"/>
    </row>
    <row r="414" spans="20:47" x14ac:dyDescent="0.4">
      <c r="T414" s="5"/>
      <c r="U414" s="8"/>
      <c r="V414" s="8"/>
      <c r="X414" s="5"/>
      <c r="AB414" s="5"/>
      <c r="AC414" s="8"/>
      <c r="AD414" s="8"/>
      <c r="AE414" s="8"/>
      <c r="AF414" s="8"/>
      <c r="AI414" s="9"/>
      <c r="AN414" s="9"/>
      <c r="AP414" s="8"/>
      <c r="AQ414" s="10"/>
      <c r="AR414" s="10"/>
      <c r="AS414" s="8"/>
      <c r="AT414" s="8"/>
      <c r="AU414" s="8"/>
    </row>
    <row r="415" spans="20:47" x14ac:dyDescent="0.4">
      <c r="T415" s="5"/>
      <c r="U415" s="8"/>
      <c r="V415" s="8"/>
      <c r="X415" s="5"/>
      <c r="AB415" s="5"/>
      <c r="AC415" s="8"/>
      <c r="AD415" s="8"/>
      <c r="AE415" s="8"/>
      <c r="AF415" s="8"/>
      <c r="AI415" s="9"/>
      <c r="AN415" s="9"/>
      <c r="AP415" s="8"/>
      <c r="AQ415" s="10"/>
      <c r="AR415" s="10"/>
      <c r="AS415" s="8"/>
      <c r="AT415" s="8"/>
      <c r="AU415" s="8"/>
    </row>
    <row r="416" spans="20:47" x14ac:dyDescent="0.4">
      <c r="T416" s="5"/>
      <c r="U416" s="8"/>
      <c r="V416" s="8"/>
      <c r="X416" s="5"/>
      <c r="AB416" s="5"/>
      <c r="AC416" s="8"/>
      <c r="AD416" s="8"/>
      <c r="AE416" s="8"/>
      <c r="AF416" s="8"/>
      <c r="AI416" s="9"/>
      <c r="AN416" s="9"/>
      <c r="AP416" s="8"/>
      <c r="AQ416" s="10"/>
      <c r="AR416" s="10"/>
      <c r="AS416" s="8"/>
      <c r="AT416" s="8"/>
      <c r="AU416" s="8"/>
    </row>
    <row r="417" spans="20:47" x14ac:dyDescent="0.4">
      <c r="T417" s="5"/>
      <c r="U417" s="8"/>
      <c r="V417" s="8"/>
      <c r="X417" s="5"/>
      <c r="AB417" s="5"/>
      <c r="AC417" s="8"/>
      <c r="AD417" s="8"/>
      <c r="AE417" s="8"/>
      <c r="AF417" s="8"/>
      <c r="AI417" s="9"/>
      <c r="AN417" s="9"/>
      <c r="AP417" s="8"/>
      <c r="AQ417" s="10"/>
      <c r="AR417" s="10"/>
      <c r="AS417" s="8"/>
      <c r="AT417" s="8"/>
      <c r="AU417" s="8"/>
    </row>
    <row r="418" spans="20:47" x14ac:dyDescent="0.4">
      <c r="T418" s="5"/>
      <c r="U418" s="8"/>
      <c r="V418" s="8"/>
      <c r="X418" s="5"/>
      <c r="AB418" s="5"/>
      <c r="AC418" s="8"/>
      <c r="AD418" s="8"/>
      <c r="AE418" s="8"/>
      <c r="AF418" s="8"/>
      <c r="AI418" s="9"/>
      <c r="AN418" s="9"/>
      <c r="AP418" s="8"/>
      <c r="AQ418" s="10"/>
      <c r="AR418" s="10"/>
      <c r="AS418" s="8"/>
      <c r="AT418" s="8"/>
      <c r="AU418" s="8"/>
    </row>
    <row r="419" spans="20:47" x14ac:dyDescent="0.4">
      <c r="T419" s="5"/>
      <c r="U419" s="8"/>
      <c r="V419" s="8"/>
      <c r="X419" s="5"/>
      <c r="AB419" s="5"/>
      <c r="AC419" s="8"/>
      <c r="AD419" s="8"/>
      <c r="AE419" s="8"/>
      <c r="AF419" s="8"/>
      <c r="AI419" s="9"/>
      <c r="AN419" s="9"/>
      <c r="AP419" s="8"/>
      <c r="AQ419" s="10"/>
      <c r="AR419" s="10"/>
      <c r="AS419" s="8"/>
      <c r="AT419" s="8"/>
      <c r="AU419" s="8"/>
    </row>
    <row r="420" spans="20:47" x14ac:dyDescent="0.4">
      <c r="T420" s="5"/>
      <c r="U420" s="8"/>
      <c r="V420" s="8"/>
      <c r="X420" s="5"/>
      <c r="AB420" s="5"/>
      <c r="AC420" s="8"/>
      <c r="AD420" s="8"/>
      <c r="AE420" s="8"/>
      <c r="AF420" s="8"/>
      <c r="AI420" s="9"/>
      <c r="AN420" s="9"/>
      <c r="AP420" s="8"/>
      <c r="AQ420" s="10"/>
      <c r="AR420" s="10"/>
      <c r="AS420" s="8"/>
      <c r="AT420" s="8"/>
      <c r="AU420" s="8"/>
    </row>
    <row r="421" spans="20:47" x14ac:dyDescent="0.4">
      <c r="T421" s="5"/>
      <c r="U421" s="8"/>
      <c r="V421" s="8"/>
      <c r="X421" s="5"/>
      <c r="AB421" s="5"/>
      <c r="AC421" s="8"/>
      <c r="AD421" s="8"/>
      <c r="AE421" s="8"/>
      <c r="AF421" s="8"/>
      <c r="AI421" s="9"/>
      <c r="AN421" s="9"/>
      <c r="AP421" s="8"/>
      <c r="AQ421" s="10"/>
      <c r="AR421" s="10"/>
      <c r="AS421" s="8"/>
      <c r="AT421" s="8"/>
      <c r="AU421" s="8"/>
    </row>
    <row r="422" spans="20:47" x14ac:dyDescent="0.4">
      <c r="T422" s="5"/>
      <c r="U422" s="8"/>
      <c r="V422" s="8"/>
      <c r="X422" s="5"/>
      <c r="AB422" s="5"/>
      <c r="AC422" s="8"/>
      <c r="AD422" s="8"/>
      <c r="AE422" s="8"/>
      <c r="AF422" s="8"/>
      <c r="AI422" s="9"/>
      <c r="AN422" s="9"/>
      <c r="AP422" s="8"/>
      <c r="AQ422" s="10"/>
      <c r="AR422" s="10"/>
      <c r="AS422" s="8"/>
      <c r="AT422" s="8"/>
      <c r="AU422" s="8"/>
    </row>
    <row r="423" spans="20:47" x14ac:dyDescent="0.4">
      <c r="T423" s="5"/>
      <c r="U423" s="8"/>
      <c r="V423" s="8"/>
      <c r="X423" s="5"/>
      <c r="AB423" s="5"/>
      <c r="AC423" s="8"/>
      <c r="AD423" s="8"/>
      <c r="AE423" s="8"/>
      <c r="AF423" s="8"/>
      <c r="AI423" s="9"/>
      <c r="AN423" s="9"/>
      <c r="AP423" s="8"/>
      <c r="AQ423" s="10"/>
      <c r="AR423" s="10"/>
      <c r="AS423" s="8"/>
      <c r="AT423" s="8"/>
      <c r="AU423" s="8"/>
    </row>
    <row r="424" spans="20:47" x14ac:dyDescent="0.4">
      <c r="T424" s="5"/>
      <c r="U424" s="8"/>
      <c r="V424" s="8"/>
      <c r="X424" s="5"/>
      <c r="AB424" s="5"/>
      <c r="AC424" s="8"/>
      <c r="AD424" s="8"/>
      <c r="AE424" s="8"/>
      <c r="AF424" s="8"/>
      <c r="AI424" s="9"/>
      <c r="AN424" s="9"/>
      <c r="AP424" s="8"/>
      <c r="AQ424" s="10"/>
      <c r="AR424" s="10"/>
      <c r="AS424" s="8"/>
      <c r="AT424" s="8"/>
      <c r="AU424" s="8"/>
    </row>
    <row r="425" spans="20:47" x14ac:dyDescent="0.4">
      <c r="T425" s="5"/>
      <c r="U425" s="8"/>
      <c r="V425" s="8"/>
      <c r="X425" s="5"/>
      <c r="AB425" s="5"/>
      <c r="AC425" s="8"/>
      <c r="AD425" s="8"/>
      <c r="AE425" s="8"/>
      <c r="AF425" s="8"/>
      <c r="AI425" s="9"/>
      <c r="AN425" s="9"/>
      <c r="AP425" s="8"/>
      <c r="AQ425" s="10"/>
      <c r="AR425" s="10"/>
      <c r="AS425" s="8"/>
      <c r="AT425" s="8"/>
      <c r="AU425" s="8"/>
    </row>
    <row r="426" spans="20:47" x14ac:dyDescent="0.4">
      <c r="T426" s="5"/>
      <c r="U426" s="8"/>
      <c r="V426" s="8"/>
      <c r="X426" s="5"/>
      <c r="AB426" s="5"/>
      <c r="AC426" s="8"/>
      <c r="AD426" s="8"/>
      <c r="AE426" s="8"/>
      <c r="AF426" s="8"/>
      <c r="AI426" s="9"/>
      <c r="AN426" s="9"/>
      <c r="AP426" s="8"/>
      <c r="AQ426" s="10"/>
      <c r="AR426" s="10"/>
      <c r="AS426" s="8"/>
      <c r="AT426" s="8"/>
      <c r="AU426" s="8"/>
    </row>
    <row r="427" spans="20:47" x14ac:dyDescent="0.4">
      <c r="T427" s="5"/>
      <c r="U427" s="8"/>
      <c r="V427" s="8"/>
      <c r="X427" s="5"/>
      <c r="AB427" s="5"/>
      <c r="AC427" s="8"/>
      <c r="AD427" s="8"/>
      <c r="AE427" s="8"/>
      <c r="AF427" s="8"/>
      <c r="AI427" s="9"/>
      <c r="AN427" s="9"/>
      <c r="AP427" s="8"/>
      <c r="AQ427" s="10"/>
      <c r="AR427" s="10"/>
      <c r="AS427" s="8"/>
      <c r="AT427" s="8"/>
      <c r="AU427" s="8"/>
    </row>
    <row r="428" spans="20:47" x14ac:dyDescent="0.4">
      <c r="T428" s="5"/>
      <c r="U428" s="8"/>
      <c r="V428" s="8"/>
      <c r="X428" s="5"/>
      <c r="AB428" s="5"/>
      <c r="AC428" s="8"/>
      <c r="AD428" s="8"/>
      <c r="AE428" s="8"/>
      <c r="AF428" s="8"/>
      <c r="AI428" s="9"/>
      <c r="AN428" s="9"/>
      <c r="AP428" s="8"/>
      <c r="AQ428" s="10"/>
      <c r="AR428" s="10"/>
      <c r="AS428" s="8"/>
      <c r="AT428" s="8"/>
      <c r="AU428" s="8"/>
    </row>
    <row r="429" spans="20:47" x14ac:dyDescent="0.4">
      <c r="T429" s="5"/>
      <c r="U429" s="8"/>
      <c r="V429" s="8"/>
      <c r="X429" s="5"/>
      <c r="AB429" s="5"/>
      <c r="AC429" s="8"/>
      <c r="AD429" s="8"/>
      <c r="AE429" s="8"/>
      <c r="AF429" s="8"/>
      <c r="AI429" s="9"/>
      <c r="AN429" s="9"/>
      <c r="AP429" s="8"/>
      <c r="AQ429" s="10"/>
      <c r="AR429" s="10"/>
      <c r="AS429" s="8"/>
      <c r="AT429" s="8"/>
      <c r="AU429" s="8"/>
    </row>
    <row r="430" spans="20:47" x14ac:dyDescent="0.4">
      <c r="T430" s="5"/>
      <c r="U430" s="8"/>
      <c r="V430" s="8"/>
      <c r="X430" s="5"/>
      <c r="AB430" s="5"/>
      <c r="AC430" s="8"/>
      <c r="AD430" s="8"/>
      <c r="AE430" s="8"/>
      <c r="AF430" s="8"/>
      <c r="AI430" s="9"/>
      <c r="AN430" s="9"/>
      <c r="AP430" s="8"/>
      <c r="AQ430" s="10"/>
      <c r="AR430" s="10"/>
      <c r="AS430" s="8"/>
      <c r="AT430" s="8"/>
      <c r="AU430" s="8"/>
    </row>
    <row r="431" spans="20:47" x14ac:dyDescent="0.4">
      <c r="T431" s="5"/>
      <c r="U431" s="8"/>
      <c r="V431" s="8"/>
      <c r="X431" s="5"/>
      <c r="AB431" s="5"/>
      <c r="AC431" s="8"/>
      <c r="AD431" s="8"/>
      <c r="AE431" s="8"/>
      <c r="AF431" s="8"/>
      <c r="AI431" s="9"/>
      <c r="AN431" s="9"/>
      <c r="AP431" s="8"/>
      <c r="AQ431" s="10"/>
      <c r="AR431" s="10"/>
      <c r="AS431" s="8"/>
      <c r="AT431" s="8"/>
      <c r="AU431" s="8"/>
    </row>
    <row r="432" spans="20:47" x14ac:dyDescent="0.4">
      <c r="T432" s="5"/>
      <c r="U432" s="8"/>
      <c r="V432" s="8"/>
      <c r="X432" s="5"/>
      <c r="AB432" s="5"/>
      <c r="AC432" s="8"/>
      <c r="AD432" s="8"/>
      <c r="AE432" s="8"/>
      <c r="AF432" s="8"/>
      <c r="AI432" s="9"/>
      <c r="AN432" s="9"/>
      <c r="AP432" s="8"/>
      <c r="AQ432" s="10"/>
      <c r="AR432" s="10"/>
      <c r="AS432" s="8"/>
      <c r="AT432" s="8"/>
      <c r="AU432" s="8"/>
    </row>
    <row r="433" spans="20:47" x14ac:dyDescent="0.4">
      <c r="T433" s="5"/>
      <c r="U433" s="8"/>
      <c r="V433" s="8"/>
      <c r="X433" s="5"/>
      <c r="AB433" s="5"/>
      <c r="AC433" s="8"/>
      <c r="AD433" s="8"/>
      <c r="AE433" s="8"/>
      <c r="AF433" s="8"/>
      <c r="AI433" s="9"/>
      <c r="AN433" s="9"/>
      <c r="AP433" s="8"/>
      <c r="AQ433" s="10"/>
      <c r="AR433" s="10"/>
      <c r="AS433" s="8"/>
      <c r="AT433" s="8"/>
      <c r="AU433" s="8"/>
    </row>
    <row r="434" spans="20:47" x14ac:dyDescent="0.4">
      <c r="T434" s="5"/>
      <c r="U434" s="8"/>
      <c r="V434" s="8"/>
      <c r="X434" s="5"/>
      <c r="AB434" s="5"/>
      <c r="AC434" s="8"/>
      <c r="AD434" s="8"/>
      <c r="AE434" s="8"/>
      <c r="AF434" s="8"/>
      <c r="AI434" s="9"/>
      <c r="AN434" s="9"/>
      <c r="AP434" s="8"/>
      <c r="AQ434" s="10"/>
      <c r="AR434" s="10"/>
      <c r="AS434" s="8"/>
      <c r="AT434" s="8"/>
      <c r="AU434" s="8"/>
    </row>
    <row r="435" spans="20:47" x14ac:dyDescent="0.4">
      <c r="T435" s="5"/>
      <c r="U435" s="8"/>
      <c r="V435" s="8"/>
      <c r="X435" s="5"/>
      <c r="AB435" s="5"/>
      <c r="AC435" s="8"/>
      <c r="AD435" s="8"/>
      <c r="AE435" s="8"/>
      <c r="AF435" s="8"/>
      <c r="AI435" s="9"/>
      <c r="AN435" s="9"/>
      <c r="AP435" s="8"/>
      <c r="AQ435" s="10"/>
      <c r="AR435" s="10"/>
      <c r="AS435" s="8"/>
      <c r="AT435" s="8"/>
      <c r="AU435" s="8"/>
    </row>
    <row r="436" spans="20:47" x14ac:dyDescent="0.4">
      <c r="T436" s="5"/>
      <c r="U436" s="8"/>
      <c r="V436" s="8"/>
      <c r="X436" s="5"/>
      <c r="AB436" s="5"/>
      <c r="AC436" s="8"/>
      <c r="AD436" s="8"/>
      <c r="AE436" s="8"/>
      <c r="AF436" s="8"/>
      <c r="AI436" s="9"/>
      <c r="AN436" s="9"/>
      <c r="AP436" s="8"/>
      <c r="AQ436" s="10"/>
      <c r="AR436" s="10"/>
      <c r="AS436" s="8"/>
      <c r="AT436" s="8"/>
      <c r="AU436" s="8"/>
    </row>
    <row r="437" spans="20:47" x14ac:dyDescent="0.4">
      <c r="T437" s="5"/>
      <c r="U437" s="8"/>
      <c r="V437" s="8"/>
      <c r="X437" s="5"/>
      <c r="AB437" s="5"/>
      <c r="AC437" s="8"/>
      <c r="AD437" s="8"/>
      <c r="AE437" s="8"/>
      <c r="AF437" s="8"/>
      <c r="AI437" s="9"/>
      <c r="AN437" s="9"/>
      <c r="AP437" s="8"/>
      <c r="AQ437" s="10"/>
      <c r="AR437" s="10"/>
      <c r="AS437" s="8"/>
      <c r="AT437" s="8"/>
      <c r="AU437" s="8"/>
    </row>
    <row r="438" spans="20:47" x14ac:dyDescent="0.4">
      <c r="T438" s="5"/>
      <c r="U438" s="8"/>
      <c r="V438" s="8"/>
      <c r="X438" s="5"/>
      <c r="AB438" s="5"/>
      <c r="AC438" s="8"/>
      <c r="AD438" s="8"/>
      <c r="AE438" s="8"/>
      <c r="AF438" s="8"/>
      <c r="AI438" s="9"/>
      <c r="AN438" s="9"/>
      <c r="AP438" s="8"/>
      <c r="AQ438" s="10"/>
      <c r="AR438" s="10"/>
      <c r="AS438" s="8"/>
      <c r="AT438" s="8"/>
      <c r="AU438" s="8"/>
    </row>
    <row r="439" spans="20:47" x14ac:dyDescent="0.4">
      <c r="T439" s="5"/>
      <c r="U439" s="8"/>
      <c r="V439" s="8"/>
      <c r="X439" s="5"/>
      <c r="AB439" s="5"/>
      <c r="AC439" s="8"/>
      <c r="AD439" s="8"/>
      <c r="AE439" s="8"/>
      <c r="AF439" s="8"/>
      <c r="AI439" s="9"/>
      <c r="AN439" s="9"/>
      <c r="AP439" s="8"/>
      <c r="AQ439" s="10"/>
      <c r="AR439" s="10"/>
      <c r="AS439" s="8"/>
      <c r="AT439" s="8"/>
      <c r="AU439" s="8"/>
    </row>
    <row r="440" spans="20:47" x14ac:dyDescent="0.4">
      <c r="T440" s="5"/>
      <c r="U440" s="8"/>
      <c r="V440" s="8"/>
      <c r="X440" s="5"/>
      <c r="AB440" s="5"/>
      <c r="AC440" s="8"/>
      <c r="AD440" s="8"/>
      <c r="AE440" s="8"/>
      <c r="AF440" s="8"/>
      <c r="AI440" s="9"/>
      <c r="AN440" s="9"/>
      <c r="AP440" s="8"/>
      <c r="AQ440" s="10"/>
      <c r="AR440" s="10"/>
      <c r="AS440" s="8"/>
      <c r="AT440" s="8"/>
      <c r="AU440" s="8"/>
    </row>
    <row r="441" spans="20:47" x14ac:dyDescent="0.4">
      <c r="T441" s="5"/>
      <c r="U441" s="8"/>
      <c r="V441" s="8"/>
      <c r="X441" s="5"/>
      <c r="AB441" s="5"/>
      <c r="AC441" s="8"/>
      <c r="AD441" s="8"/>
      <c r="AE441" s="8"/>
      <c r="AF441" s="8"/>
      <c r="AI441" s="9"/>
      <c r="AN441" s="9"/>
      <c r="AP441" s="8"/>
      <c r="AQ441" s="10"/>
      <c r="AR441" s="10"/>
      <c r="AS441" s="8"/>
      <c r="AT441" s="8"/>
      <c r="AU441" s="8"/>
    </row>
    <row r="442" spans="20:47" x14ac:dyDescent="0.4">
      <c r="T442" s="5"/>
      <c r="U442" s="8"/>
      <c r="V442" s="8"/>
      <c r="X442" s="5"/>
      <c r="AB442" s="5"/>
      <c r="AC442" s="8"/>
      <c r="AD442" s="8"/>
      <c r="AE442" s="8"/>
      <c r="AF442" s="8"/>
      <c r="AI442" s="9"/>
      <c r="AN442" s="9"/>
      <c r="AP442" s="8"/>
      <c r="AQ442" s="10"/>
      <c r="AR442" s="10"/>
      <c r="AS442" s="8"/>
      <c r="AT442" s="8"/>
      <c r="AU442" s="8"/>
    </row>
    <row r="443" spans="20:47" x14ac:dyDescent="0.4">
      <c r="T443" s="5"/>
      <c r="U443" s="8"/>
      <c r="V443" s="8"/>
      <c r="X443" s="5"/>
      <c r="AB443" s="5"/>
      <c r="AC443" s="8"/>
      <c r="AD443" s="8"/>
      <c r="AE443" s="8"/>
      <c r="AF443" s="8"/>
      <c r="AI443" s="9"/>
      <c r="AN443" s="9"/>
      <c r="AP443" s="8"/>
      <c r="AQ443" s="10"/>
      <c r="AR443" s="10"/>
      <c r="AS443" s="8"/>
      <c r="AT443" s="8"/>
      <c r="AU443" s="8"/>
    </row>
    <row r="444" spans="20:47" x14ac:dyDescent="0.4">
      <c r="T444" s="5"/>
      <c r="U444" s="8"/>
      <c r="V444" s="8"/>
      <c r="X444" s="5"/>
      <c r="AB444" s="5"/>
      <c r="AC444" s="8"/>
      <c r="AD444" s="8"/>
      <c r="AE444" s="8"/>
      <c r="AF444" s="8"/>
      <c r="AI444" s="9"/>
      <c r="AN444" s="9"/>
      <c r="AP444" s="8"/>
      <c r="AQ444" s="10"/>
      <c r="AR444" s="10"/>
      <c r="AS444" s="8"/>
      <c r="AT444" s="8"/>
      <c r="AU444" s="8"/>
    </row>
    <row r="445" spans="20:47" x14ac:dyDescent="0.4">
      <c r="T445" s="5"/>
      <c r="U445" s="8"/>
      <c r="V445" s="8"/>
      <c r="X445" s="5"/>
      <c r="AB445" s="5"/>
      <c r="AC445" s="8"/>
      <c r="AD445" s="8"/>
      <c r="AE445" s="8"/>
      <c r="AF445" s="8"/>
      <c r="AI445" s="9"/>
      <c r="AN445" s="9"/>
      <c r="AP445" s="8"/>
      <c r="AQ445" s="10"/>
      <c r="AR445" s="10"/>
      <c r="AS445" s="8"/>
      <c r="AT445" s="8"/>
      <c r="AU445" s="8"/>
    </row>
    <row r="446" spans="20:47" x14ac:dyDescent="0.4">
      <c r="T446" s="5"/>
      <c r="U446" s="8"/>
      <c r="V446" s="8"/>
      <c r="X446" s="5"/>
      <c r="AB446" s="5"/>
      <c r="AC446" s="8"/>
      <c r="AD446" s="8"/>
      <c r="AE446" s="8"/>
      <c r="AF446" s="8"/>
      <c r="AI446" s="9"/>
      <c r="AN446" s="9"/>
      <c r="AP446" s="8"/>
      <c r="AQ446" s="10"/>
      <c r="AR446" s="10"/>
      <c r="AS446" s="8"/>
      <c r="AT446" s="8"/>
      <c r="AU446" s="8"/>
    </row>
    <row r="447" spans="20:47" x14ac:dyDescent="0.4">
      <c r="T447" s="5"/>
      <c r="U447" s="8"/>
      <c r="V447" s="8"/>
      <c r="X447" s="5"/>
      <c r="AB447" s="5"/>
      <c r="AC447" s="8"/>
      <c r="AD447" s="8"/>
      <c r="AE447" s="8"/>
      <c r="AF447" s="8"/>
      <c r="AI447" s="9"/>
      <c r="AN447" s="9"/>
      <c r="AP447" s="8"/>
      <c r="AQ447" s="10"/>
      <c r="AR447" s="10"/>
      <c r="AS447" s="8"/>
      <c r="AT447" s="8"/>
      <c r="AU447" s="8"/>
    </row>
    <row r="448" spans="20:47" x14ac:dyDescent="0.4">
      <c r="T448" s="5"/>
      <c r="U448" s="8"/>
      <c r="V448" s="8"/>
      <c r="X448" s="5"/>
      <c r="AB448" s="5"/>
      <c r="AC448" s="8"/>
      <c r="AD448" s="8"/>
      <c r="AE448" s="8"/>
      <c r="AF448" s="8"/>
      <c r="AI448" s="9"/>
      <c r="AN448" s="9"/>
      <c r="AP448" s="8"/>
      <c r="AQ448" s="10"/>
      <c r="AR448" s="10"/>
      <c r="AS448" s="8"/>
      <c r="AT448" s="8"/>
      <c r="AU448" s="8"/>
    </row>
    <row r="449" spans="20:47" x14ac:dyDescent="0.4">
      <c r="T449" s="5"/>
      <c r="U449" s="8"/>
      <c r="V449" s="8"/>
      <c r="X449" s="5"/>
      <c r="AB449" s="5"/>
      <c r="AC449" s="8"/>
      <c r="AD449" s="8"/>
      <c r="AE449" s="8"/>
      <c r="AF449" s="8"/>
      <c r="AI449" s="9"/>
      <c r="AN449" s="9"/>
      <c r="AP449" s="8"/>
      <c r="AQ449" s="10"/>
      <c r="AR449" s="10"/>
      <c r="AS449" s="8"/>
      <c r="AT449" s="8"/>
      <c r="AU449" s="8"/>
    </row>
    <row r="450" spans="20:47" x14ac:dyDescent="0.4">
      <c r="T450" s="5"/>
      <c r="U450" s="8"/>
      <c r="V450" s="8"/>
      <c r="X450" s="5"/>
      <c r="AB450" s="5"/>
      <c r="AC450" s="8"/>
      <c r="AD450" s="8"/>
      <c r="AE450" s="8"/>
      <c r="AF450" s="8"/>
      <c r="AI450" s="9"/>
      <c r="AN450" s="9"/>
      <c r="AP450" s="8"/>
      <c r="AQ450" s="10"/>
      <c r="AR450" s="10"/>
      <c r="AS450" s="8"/>
      <c r="AT450" s="8"/>
      <c r="AU450" s="8"/>
    </row>
    <row r="451" spans="20:47" x14ac:dyDescent="0.4">
      <c r="T451" s="5"/>
      <c r="U451" s="8"/>
      <c r="V451" s="8"/>
      <c r="X451" s="5"/>
      <c r="AB451" s="5"/>
      <c r="AC451" s="8"/>
      <c r="AD451" s="8"/>
      <c r="AE451" s="8"/>
      <c r="AF451" s="8"/>
      <c r="AI451" s="9"/>
      <c r="AN451" s="9"/>
      <c r="AP451" s="8"/>
      <c r="AQ451" s="10"/>
      <c r="AR451" s="10"/>
      <c r="AS451" s="8"/>
      <c r="AT451" s="8"/>
      <c r="AU451" s="8"/>
    </row>
    <row r="452" spans="20:47" x14ac:dyDescent="0.4">
      <c r="T452" s="5"/>
      <c r="U452" s="8"/>
      <c r="V452" s="8"/>
      <c r="X452" s="5"/>
      <c r="AB452" s="5"/>
      <c r="AC452" s="8"/>
      <c r="AD452" s="8"/>
      <c r="AE452" s="8"/>
      <c r="AF452" s="8"/>
      <c r="AI452" s="9"/>
      <c r="AN452" s="9"/>
      <c r="AP452" s="8"/>
      <c r="AQ452" s="10"/>
      <c r="AR452" s="10"/>
      <c r="AS452" s="8"/>
      <c r="AT452" s="8"/>
      <c r="AU452" s="8"/>
    </row>
    <row r="453" spans="20:47" x14ac:dyDescent="0.4">
      <c r="T453" s="5"/>
      <c r="U453" s="8"/>
      <c r="V453" s="8"/>
      <c r="X453" s="5"/>
      <c r="AB453" s="5"/>
      <c r="AC453" s="8"/>
      <c r="AD453" s="8"/>
      <c r="AE453" s="8"/>
      <c r="AF453" s="8"/>
      <c r="AI453" s="9"/>
      <c r="AN453" s="9"/>
      <c r="AP453" s="8"/>
      <c r="AQ453" s="10"/>
      <c r="AR453" s="10"/>
      <c r="AS453" s="8"/>
      <c r="AT453" s="8"/>
      <c r="AU453" s="8"/>
    </row>
    <row r="454" spans="20:47" x14ac:dyDescent="0.4">
      <c r="T454" s="5"/>
      <c r="U454" s="8"/>
      <c r="V454" s="8"/>
      <c r="X454" s="5"/>
      <c r="AB454" s="5"/>
      <c r="AC454" s="8"/>
      <c r="AD454" s="8"/>
      <c r="AE454" s="8"/>
      <c r="AF454" s="8"/>
      <c r="AI454" s="9"/>
      <c r="AN454" s="9"/>
      <c r="AP454" s="8"/>
      <c r="AQ454" s="10"/>
      <c r="AR454" s="10"/>
      <c r="AS454" s="8"/>
      <c r="AT454" s="8"/>
      <c r="AU454" s="8"/>
    </row>
    <row r="455" spans="20:47" x14ac:dyDescent="0.4">
      <c r="T455" s="5"/>
      <c r="U455" s="8"/>
      <c r="V455" s="8"/>
      <c r="X455" s="5"/>
      <c r="AB455" s="5"/>
      <c r="AC455" s="8"/>
      <c r="AD455" s="8"/>
      <c r="AE455" s="8"/>
      <c r="AF455" s="8"/>
      <c r="AI455" s="9"/>
      <c r="AN455" s="9"/>
      <c r="AP455" s="8"/>
      <c r="AQ455" s="10"/>
      <c r="AR455" s="10"/>
      <c r="AS455" s="8"/>
      <c r="AT455" s="8"/>
      <c r="AU455" s="8"/>
    </row>
    <row r="456" spans="20:47" x14ac:dyDescent="0.4">
      <c r="T456" s="5"/>
      <c r="U456" s="8"/>
      <c r="V456" s="8"/>
      <c r="X456" s="5"/>
      <c r="AB456" s="5"/>
      <c r="AC456" s="8"/>
      <c r="AD456" s="8"/>
      <c r="AE456" s="8"/>
      <c r="AF456" s="8"/>
      <c r="AI456" s="9"/>
      <c r="AN456" s="9"/>
      <c r="AP456" s="8"/>
      <c r="AQ456" s="10"/>
      <c r="AR456" s="10"/>
      <c r="AS456" s="8"/>
      <c r="AT456" s="8"/>
      <c r="AU456" s="8"/>
    </row>
    <row r="457" spans="20:47" x14ac:dyDescent="0.4">
      <c r="T457" s="5"/>
      <c r="U457" s="8"/>
      <c r="V457" s="8"/>
      <c r="X457" s="5"/>
      <c r="AB457" s="5"/>
      <c r="AC457" s="8"/>
      <c r="AD457" s="8"/>
      <c r="AE457" s="8"/>
      <c r="AF457" s="8"/>
      <c r="AI457" s="9"/>
      <c r="AN457" s="9"/>
      <c r="AP457" s="8"/>
      <c r="AQ457" s="10"/>
      <c r="AR457" s="10"/>
      <c r="AS457" s="8"/>
      <c r="AT457" s="8"/>
      <c r="AU457" s="8"/>
    </row>
    <row r="458" spans="20:47" x14ac:dyDescent="0.4">
      <c r="T458" s="5"/>
      <c r="U458" s="8"/>
      <c r="V458" s="8"/>
      <c r="X458" s="5"/>
      <c r="AB458" s="5"/>
      <c r="AC458" s="8"/>
      <c r="AD458" s="8"/>
      <c r="AE458" s="8"/>
      <c r="AF458" s="8"/>
      <c r="AI458" s="9"/>
      <c r="AN458" s="9"/>
      <c r="AP458" s="8"/>
      <c r="AQ458" s="10"/>
      <c r="AR458" s="10"/>
      <c r="AS458" s="8"/>
      <c r="AT458" s="8"/>
      <c r="AU458" s="8"/>
    </row>
    <row r="459" spans="20:47" x14ac:dyDescent="0.4">
      <c r="T459" s="5"/>
      <c r="U459" s="8"/>
      <c r="V459" s="8"/>
      <c r="X459" s="5"/>
      <c r="AB459" s="5"/>
      <c r="AC459" s="8"/>
      <c r="AD459" s="8"/>
      <c r="AE459" s="8"/>
      <c r="AF459" s="8"/>
      <c r="AI459" s="9"/>
      <c r="AN459" s="9"/>
      <c r="AP459" s="8"/>
      <c r="AQ459" s="10"/>
      <c r="AR459" s="10"/>
      <c r="AS459" s="8"/>
      <c r="AT459" s="8"/>
      <c r="AU459" s="8"/>
    </row>
    <row r="460" spans="20:47" x14ac:dyDescent="0.4">
      <c r="T460" s="5"/>
      <c r="U460" s="8"/>
      <c r="V460" s="8"/>
      <c r="X460" s="5"/>
      <c r="AB460" s="5"/>
      <c r="AC460" s="8"/>
      <c r="AD460" s="8"/>
      <c r="AE460" s="8"/>
      <c r="AF460" s="8"/>
      <c r="AI460" s="9"/>
      <c r="AN460" s="9"/>
      <c r="AP460" s="8"/>
      <c r="AQ460" s="10"/>
      <c r="AR460" s="10"/>
      <c r="AS460" s="8"/>
      <c r="AT460" s="8"/>
      <c r="AU460" s="8"/>
    </row>
    <row r="461" spans="20:47" x14ac:dyDescent="0.4">
      <c r="T461" s="5"/>
      <c r="U461" s="8"/>
      <c r="V461" s="8"/>
      <c r="X461" s="5"/>
      <c r="AB461" s="5"/>
      <c r="AC461" s="8"/>
      <c r="AD461" s="8"/>
      <c r="AE461" s="8"/>
      <c r="AF461" s="8"/>
      <c r="AI461" s="9"/>
      <c r="AN461" s="9"/>
      <c r="AP461" s="8"/>
      <c r="AQ461" s="10"/>
      <c r="AR461" s="10"/>
      <c r="AS461" s="8"/>
      <c r="AT461" s="8"/>
      <c r="AU461" s="8"/>
    </row>
    <row r="462" spans="20:47" x14ac:dyDescent="0.4">
      <c r="T462" s="5"/>
      <c r="U462" s="8"/>
      <c r="V462" s="8"/>
      <c r="X462" s="5"/>
      <c r="AB462" s="5"/>
      <c r="AC462" s="8"/>
      <c r="AD462" s="8"/>
      <c r="AE462" s="8"/>
      <c r="AF462" s="8"/>
      <c r="AI462" s="9"/>
      <c r="AN462" s="9"/>
      <c r="AP462" s="8"/>
      <c r="AQ462" s="10"/>
      <c r="AR462" s="10"/>
      <c r="AS462" s="8"/>
      <c r="AT462" s="8"/>
      <c r="AU462" s="8"/>
    </row>
    <row r="463" spans="20:47" x14ac:dyDescent="0.4">
      <c r="T463" s="5"/>
      <c r="U463" s="8"/>
      <c r="V463" s="8"/>
      <c r="X463" s="5"/>
      <c r="AB463" s="5"/>
      <c r="AC463" s="8"/>
      <c r="AD463" s="8"/>
      <c r="AE463" s="8"/>
      <c r="AF463" s="8"/>
      <c r="AI463" s="9"/>
      <c r="AN463" s="9"/>
      <c r="AP463" s="8"/>
      <c r="AQ463" s="10"/>
      <c r="AR463" s="10"/>
      <c r="AS463" s="8"/>
      <c r="AT463" s="8"/>
      <c r="AU463" s="8"/>
    </row>
    <row r="464" spans="20:47" x14ac:dyDescent="0.4">
      <c r="T464" s="5"/>
      <c r="U464" s="8"/>
      <c r="V464" s="8"/>
      <c r="X464" s="5"/>
      <c r="AB464" s="5"/>
      <c r="AC464" s="8"/>
      <c r="AD464" s="8"/>
      <c r="AE464" s="8"/>
      <c r="AF464" s="8"/>
      <c r="AI464" s="9"/>
      <c r="AN464" s="9"/>
      <c r="AP464" s="8"/>
      <c r="AQ464" s="10"/>
      <c r="AR464" s="10"/>
      <c r="AS464" s="8"/>
      <c r="AT464" s="8"/>
      <c r="AU464" s="8"/>
    </row>
    <row r="465" spans="20:47" x14ac:dyDescent="0.4">
      <c r="T465" s="5"/>
      <c r="U465" s="8"/>
      <c r="V465" s="8"/>
      <c r="X465" s="5"/>
      <c r="AB465" s="5"/>
      <c r="AC465" s="8"/>
      <c r="AD465" s="8"/>
      <c r="AE465" s="8"/>
      <c r="AF465" s="8"/>
      <c r="AI465" s="9"/>
      <c r="AN465" s="9"/>
      <c r="AP465" s="8"/>
      <c r="AQ465" s="10"/>
      <c r="AR465" s="10"/>
      <c r="AS465" s="8"/>
      <c r="AT465" s="8"/>
      <c r="AU465" s="8"/>
    </row>
    <row r="466" spans="20:47" x14ac:dyDescent="0.4">
      <c r="T466" s="5"/>
      <c r="U466" s="8"/>
      <c r="V466" s="8"/>
      <c r="X466" s="5"/>
      <c r="AB466" s="5"/>
      <c r="AC466" s="8"/>
      <c r="AD466" s="8"/>
      <c r="AE466" s="8"/>
      <c r="AF466" s="8"/>
      <c r="AI466" s="9"/>
      <c r="AN466" s="9"/>
      <c r="AP466" s="8"/>
      <c r="AQ466" s="10"/>
      <c r="AR466" s="10"/>
      <c r="AS466" s="8"/>
      <c r="AT466" s="8"/>
      <c r="AU466" s="8"/>
    </row>
    <row r="467" spans="20:47" x14ac:dyDescent="0.4">
      <c r="T467" s="5"/>
      <c r="U467" s="8"/>
      <c r="V467" s="8"/>
      <c r="X467" s="5"/>
      <c r="AB467" s="5"/>
      <c r="AC467" s="8"/>
      <c r="AD467" s="8"/>
      <c r="AE467" s="8"/>
      <c r="AF467" s="8"/>
      <c r="AI467" s="9"/>
      <c r="AN467" s="9"/>
      <c r="AP467" s="8"/>
      <c r="AQ467" s="10"/>
      <c r="AR467" s="10"/>
      <c r="AS467" s="8"/>
      <c r="AT467" s="8"/>
      <c r="AU467" s="8"/>
    </row>
    <row r="468" spans="20:47" x14ac:dyDescent="0.4">
      <c r="T468" s="5"/>
      <c r="U468" s="8"/>
      <c r="V468" s="8"/>
      <c r="X468" s="5"/>
      <c r="AB468" s="5"/>
      <c r="AC468" s="8"/>
      <c r="AD468" s="8"/>
      <c r="AE468" s="8"/>
      <c r="AF468" s="8"/>
      <c r="AI468" s="9"/>
      <c r="AN468" s="9"/>
      <c r="AP468" s="8"/>
      <c r="AQ468" s="10"/>
      <c r="AR468" s="10"/>
      <c r="AS468" s="8"/>
      <c r="AT468" s="8"/>
      <c r="AU468" s="8"/>
    </row>
    <row r="469" spans="20:47" x14ac:dyDescent="0.4">
      <c r="T469" s="5"/>
      <c r="U469" s="8"/>
      <c r="V469" s="8"/>
      <c r="X469" s="5"/>
      <c r="AB469" s="5"/>
      <c r="AC469" s="8"/>
      <c r="AD469" s="8"/>
      <c r="AE469" s="8"/>
      <c r="AF469" s="8"/>
      <c r="AI469" s="9"/>
      <c r="AN469" s="9"/>
      <c r="AP469" s="8"/>
      <c r="AQ469" s="10"/>
      <c r="AR469" s="10"/>
      <c r="AS469" s="8"/>
      <c r="AT469" s="8"/>
      <c r="AU469" s="8"/>
    </row>
    <row r="470" spans="20:47" x14ac:dyDescent="0.4">
      <c r="T470" s="5"/>
      <c r="U470" s="8"/>
      <c r="V470" s="8"/>
      <c r="X470" s="5"/>
      <c r="AB470" s="5"/>
      <c r="AC470" s="8"/>
      <c r="AD470" s="8"/>
      <c r="AE470" s="8"/>
      <c r="AF470" s="8"/>
      <c r="AI470" s="9"/>
      <c r="AN470" s="9"/>
      <c r="AP470" s="8"/>
      <c r="AQ470" s="10"/>
      <c r="AR470" s="10"/>
      <c r="AS470" s="8"/>
      <c r="AT470" s="8"/>
      <c r="AU470" s="8"/>
    </row>
    <row r="471" spans="20:47" x14ac:dyDescent="0.4">
      <c r="T471" s="5"/>
      <c r="U471" s="8"/>
      <c r="V471" s="8"/>
      <c r="X471" s="5"/>
      <c r="AB471" s="5"/>
      <c r="AC471" s="8"/>
      <c r="AD471" s="8"/>
      <c r="AE471" s="8"/>
      <c r="AF471" s="8"/>
      <c r="AI471" s="9"/>
      <c r="AN471" s="9"/>
      <c r="AP471" s="8"/>
      <c r="AQ471" s="10"/>
      <c r="AR471" s="10"/>
      <c r="AS471" s="8"/>
      <c r="AT471" s="8"/>
      <c r="AU471" s="8"/>
    </row>
  </sheetData>
  <mergeCells count="6">
    <mergeCell ref="AV2:AW2"/>
    <mergeCell ref="Y2:AF2"/>
    <mergeCell ref="AG2:AL2"/>
    <mergeCell ref="AM2:AU2"/>
    <mergeCell ref="A1:B1"/>
    <mergeCell ref="T2:X2"/>
  </mergeCells>
  <phoneticPr fontId="1" type="noConversion"/>
  <pageMargins left="0.7" right="0.7" top="0.75" bottom="0.75" header="0.3" footer="0.3"/>
  <pageSetup paperSize="9"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86093-905D-471C-A180-1E7F3818398C}">
  <dimension ref="A1:BL471"/>
  <sheetViews>
    <sheetView topLeftCell="B1" zoomScale="70" zoomScaleNormal="70" workbookViewId="0">
      <pane ySplit="4" topLeftCell="A5" activePane="bottomLeft" state="frozen"/>
      <selection activeCell="I1" sqref="I1"/>
      <selection pane="bottomLeft" activeCell="G53" sqref="G53"/>
    </sheetView>
  </sheetViews>
  <sheetFormatPr defaultColWidth="9.15234375" defaultRowHeight="14.6" x14ac:dyDescent="0.4"/>
  <cols>
    <col min="1" max="1" width="12.15234375" style="21" customWidth="1"/>
    <col min="2" max="2" width="10.84375" style="21" customWidth="1"/>
    <col min="3" max="3" width="18" style="21" customWidth="1"/>
    <col min="4" max="4" width="12.3828125" style="21" customWidth="1"/>
    <col min="5" max="5" width="13.3828125" style="21" customWidth="1"/>
    <col min="6" max="6" width="12.84375" style="21" customWidth="1"/>
    <col min="7" max="7" width="17.53515625" style="21" customWidth="1"/>
    <col min="8" max="8" width="18.3828125" style="21" customWidth="1"/>
    <col min="9" max="9" width="26.53515625" style="21" customWidth="1"/>
    <col min="10" max="10" width="21.15234375" style="21" customWidth="1"/>
    <col min="11" max="11" width="28.15234375" style="21" customWidth="1"/>
    <col min="12" max="12" width="15.53515625" style="21" customWidth="1"/>
    <col min="13" max="13" width="16.15234375" style="21" customWidth="1"/>
    <col min="14" max="14" width="17" style="21" customWidth="1"/>
    <col min="15" max="15" width="15.69140625" style="21" customWidth="1"/>
    <col min="16" max="16" width="13.15234375" style="21" customWidth="1"/>
    <col min="17" max="17" width="16.84375" style="3" customWidth="1"/>
    <col min="18" max="19" width="20.53515625" style="3" customWidth="1"/>
    <col min="20" max="20" width="11.53515625" style="3" customWidth="1"/>
    <col min="21" max="21" width="15" style="3" customWidth="1"/>
    <col min="22" max="22" width="16.84375" style="3" customWidth="1"/>
    <col min="23" max="23" width="17.3046875" style="3" customWidth="1"/>
    <col min="24" max="24" width="19.15234375" style="3" customWidth="1"/>
    <col min="25" max="25" width="17.53515625" style="3" customWidth="1"/>
    <col min="26" max="26" width="16.84375" style="3" customWidth="1"/>
    <col min="27" max="27" width="17.84375" style="3" customWidth="1"/>
    <col min="28" max="28" width="11.3828125" style="3" customWidth="1"/>
    <col min="29" max="30" width="19.3046875" style="3" customWidth="1"/>
    <col min="31" max="32" width="13.15234375" style="3" customWidth="1"/>
    <col min="33" max="33" width="14.53515625" style="3" customWidth="1"/>
    <col min="34" max="34" width="13.69140625" style="3" customWidth="1"/>
    <col min="35" max="35" width="11.53515625" style="3" customWidth="1"/>
    <col min="36" max="36" width="15.69140625" style="3" customWidth="1"/>
    <col min="37" max="37" width="16.84375" style="3" customWidth="1"/>
    <col min="38" max="38" width="11" style="3" customWidth="1"/>
    <col min="39" max="39" width="14.53515625" style="3" customWidth="1"/>
    <col min="40" max="40" width="16.3828125" style="3" customWidth="1"/>
    <col min="41" max="41" width="17.3046875" style="3" customWidth="1"/>
    <col min="42" max="42" width="21" style="3" customWidth="1"/>
    <col min="43" max="43" width="13.3046875" style="3" customWidth="1"/>
    <col min="44" max="44" width="12.53515625" style="3" customWidth="1"/>
    <col min="45" max="46" width="23.15234375" style="3" customWidth="1"/>
    <col min="47" max="47" width="18.3046875" style="3" bestFit="1" customWidth="1"/>
    <col min="48" max="48" width="18.3046875" style="3" customWidth="1"/>
    <col min="49" max="49" width="17.84375" style="3" customWidth="1"/>
    <col min="50" max="16384" width="9.15234375" style="3"/>
  </cols>
  <sheetData>
    <row r="1" spans="1:64" ht="29.25" customHeight="1" x14ac:dyDescent="0.55000000000000004">
      <c r="A1" s="138" t="s">
        <v>132</v>
      </c>
      <c r="B1" s="138"/>
      <c r="C1" s="34"/>
      <c r="D1" s="34"/>
      <c r="E1" s="34"/>
      <c r="F1" s="34"/>
      <c r="G1" s="34"/>
      <c r="H1" s="36"/>
      <c r="I1" s="34"/>
      <c r="J1" s="34"/>
      <c r="K1" s="36"/>
      <c r="L1" s="34"/>
      <c r="M1" s="34"/>
      <c r="N1" s="34"/>
      <c r="O1" s="34"/>
      <c r="P1" s="34"/>
      <c r="Q1" s="34"/>
      <c r="R1" s="34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42"/>
      <c r="AW1" s="42"/>
    </row>
    <row r="2" spans="1:64" ht="29.25" customHeight="1" x14ac:dyDescent="0.5500000000000000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6"/>
      <c r="R2" s="26"/>
      <c r="S2" s="45"/>
      <c r="T2" s="139"/>
      <c r="U2" s="139"/>
      <c r="V2" s="139"/>
      <c r="W2" s="139"/>
      <c r="X2" s="139"/>
      <c r="Y2" s="135" t="s">
        <v>103</v>
      </c>
      <c r="Z2" s="136"/>
      <c r="AA2" s="136"/>
      <c r="AB2" s="136"/>
      <c r="AC2" s="136"/>
      <c r="AD2" s="136"/>
      <c r="AE2" s="136"/>
      <c r="AF2" s="137"/>
      <c r="AG2" s="136" t="s">
        <v>106</v>
      </c>
      <c r="AH2" s="136"/>
      <c r="AI2" s="136"/>
      <c r="AJ2" s="136"/>
      <c r="AK2" s="136"/>
      <c r="AL2" s="136"/>
      <c r="AM2" s="136" t="s">
        <v>108</v>
      </c>
      <c r="AN2" s="136"/>
      <c r="AO2" s="136"/>
      <c r="AP2" s="136"/>
      <c r="AQ2" s="136"/>
      <c r="AR2" s="136"/>
      <c r="AS2" s="136"/>
      <c r="AT2" s="136"/>
      <c r="AU2" s="136"/>
      <c r="AV2" s="133" t="s">
        <v>116</v>
      </c>
      <c r="AW2" s="134"/>
    </row>
    <row r="3" spans="1:64" s="21" customFormat="1" ht="135" customHeight="1" x14ac:dyDescent="0.4">
      <c r="A3" s="26" t="s">
        <v>117</v>
      </c>
      <c r="B3" s="26" t="s">
        <v>104</v>
      </c>
      <c r="C3" s="26" t="s">
        <v>105</v>
      </c>
      <c r="D3" s="26" t="s">
        <v>119</v>
      </c>
      <c r="E3" s="26" t="s">
        <v>118</v>
      </c>
      <c r="F3" s="26" t="s">
        <v>97</v>
      </c>
      <c r="G3" s="26" t="s">
        <v>120</v>
      </c>
      <c r="H3" s="26" t="s">
        <v>155</v>
      </c>
      <c r="I3" s="37" t="s">
        <v>156</v>
      </c>
      <c r="J3" s="33" t="s">
        <v>124</v>
      </c>
      <c r="K3" s="37" t="s">
        <v>151</v>
      </c>
      <c r="L3" s="26" t="s">
        <v>125</v>
      </c>
      <c r="M3" s="26" t="s">
        <v>126</v>
      </c>
      <c r="N3" s="26" t="s">
        <v>127</v>
      </c>
      <c r="O3" s="26" t="s">
        <v>129</v>
      </c>
      <c r="P3" s="26" t="s">
        <v>133</v>
      </c>
      <c r="Q3" s="26" t="s">
        <v>134</v>
      </c>
      <c r="R3" s="26" t="s">
        <v>135</v>
      </c>
      <c r="S3" s="11" t="s">
        <v>136</v>
      </c>
      <c r="T3" s="11" t="s">
        <v>0</v>
      </c>
      <c r="U3" s="11" t="s">
        <v>1</v>
      </c>
      <c r="V3" s="11" t="s">
        <v>2</v>
      </c>
      <c r="W3" s="11" t="s">
        <v>3</v>
      </c>
      <c r="X3" s="11" t="s">
        <v>4</v>
      </c>
      <c r="Y3" s="15" t="s">
        <v>5</v>
      </c>
      <c r="Z3" s="15" t="s">
        <v>6</v>
      </c>
      <c r="AA3" s="15" t="s">
        <v>7</v>
      </c>
      <c r="AB3" s="16" t="s">
        <v>8</v>
      </c>
      <c r="AC3" s="13" t="s">
        <v>9</v>
      </c>
      <c r="AD3" s="13" t="s">
        <v>10</v>
      </c>
      <c r="AE3" s="13" t="s">
        <v>11</v>
      </c>
      <c r="AF3" s="13" t="s">
        <v>12</v>
      </c>
      <c r="AG3" s="7" t="s">
        <v>107</v>
      </c>
      <c r="AH3" s="7" t="s">
        <v>109</v>
      </c>
      <c r="AI3" s="7" t="s">
        <v>13</v>
      </c>
      <c r="AJ3" s="7" t="s">
        <v>14</v>
      </c>
      <c r="AK3" s="7" t="s">
        <v>15</v>
      </c>
      <c r="AL3" s="19" t="s">
        <v>16</v>
      </c>
      <c r="AM3" s="19" t="s">
        <v>17</v>
      </c>
      <c r="AN3" s="19" t="s">
        <v>18</v>
      </c>
      <c r="AO3" s="19" t="s">
        <v>19</v>
      </c>
      <c r="AP3" s="19" t="s">
        <v>20</v>
      </c>
      <c r="AQ3" s="19" t="s">
        <v>142</v>
      </c>
      <c r="AR3" s="19" t="s">
        <v>143</v>
      </c>
      <c r="AS3" s="19" t="s">
        <v>23</v>
      </c>
      <c r="AT3" s="19" t="s">
        <v>24</v>
      </c>
      <c r="AU3" s="19" t="s">
        <v>25</v>
      </c>
      <c r="AV3" s="40" t="s">
        <v>112</v>
      </c>
      <c r="AW3" s="40" t="s">
        <v>113</v>
      </c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s="1" customFormat="1" ht="46.5" customHeight="1" thickBot="1" x14ac:dyDescent="0.45">
      <c r="A4" s="46" t="s">
        <v>93</v>
      </c>
      <c r="B4" s="46" t="s">
        <v>122</v>
      </c>
      <c r="C4" s="46" t="s">
        <v>121</v>
      </c>
      <c r="D4" s="46" t="s">
        <v>95</v>
      </c>
      <c r="E4" s="46" t="s">
        <v>96</v>
      </c>
      <c r="F4" s="46" t="s">
        <v>97</v>
      </c>
      <c r="G4" s="46" t="s">
        <v>101</v>
      </c>
      <c r="H4" s="25" t="s">
        <v>157</v>
      </c>
      <c r="I4" s="25" t="s">
        <v>153</v>
      </c>
      <c r="J4" s="46" t="s">
        <v>123</v>
      </c>
      <c r="K4" s="25" t="s">
        <v>152</v>
      </c>
      <c r="L4" s="46" t="s">
        <v>98</v>
      </c>
      <c r="M4" s="46" t="s">
        <v>99</v>
      </c>
      <c r="N4" s="46" t="s">
        <v>128</v>
      </c>
      <c r="O4" s="46" t="s">
        <v>102</v>
      </c>
      <c r="P4" s="46" t="s">
        <v>92</v>
      </c>
      <c r="Q4" s="46" t="s">
        <v>51</v>
      </c>
      <c r="R4" s="46" t="s">
        <v>52</v>
      </c>
      <c r="S4" s="47" t="s">
        <v>100</v>
      </c>
      <c r="T4" s="47" t="s">
        <v>50</v>
      </c>
      <c r="U4" s="47" t="s">
        <v>47</v>
      </c>
      <c r="V4" s="47" t="s">
        <v>48</v>
      </c>
      <c r="W4" s="47" t="s">
        <v>49</v>
      </c>
      <c r="X4" s="47" t="s">
        <v>26</v>
      </c>
      <c r="Y4" s="48" t="s">
        <v>5</v>
      </c>
      <c r="Z4" s="48" t="s">
        <v>27</v>
      </c>
      <c r="AA4" s="48" t="s">
        <v>28</v>
      </c>
      <c r="AB4" s="49" t="s">
        <v>29</v>
      </c>
      <c r="AC4" s="50" t="s">
        <v>46</v>
      </c>
      <c r="AD4" s="50" t="s">
        <v>45</v>
      </c>
      <c r="AE4" s="50" t="s">
        <v>30</v>
      </c>
      <c r="AF4" s="50" t="s">
        <v>31</v>
      </c>
      <c r="AG4" s="51" t="s">
        <v>130</v>
      </c>
      <c r="AH4" s="51" t="s">
        <v>131</v>
      </c>
      <c r="AI4" s="51" t="s">
        <v>42</v>
      </c>
      <c r="AJ4" s="51" t="s">
        <v>41</v>
      </c>
      <c r="AK4" s="51" t="s">
        <v>40</v>
      </c>
      <c r="AL4" s="52" t="s">
        <v>39</v>
      </c>
      <c r="AM4" s="52" t="s">
        <v>38</v>
      </c>
      <c r="AN4" s="52" t="s">
        <v>44</v>
      </c>
      <c r="AO4" s="52" t="s">
        <v>32</v>
      </c>
      <c r="AP4" s="52" t="s">
        <v>37</v>
      </c>
      <c r="AQ4" s="52" t="s">
        <v>36</v>
      </c>
      <c r="AR4" s="52" t="s">
        <v>43</v>
      </c>
      <c r="AS4" s="52" t="s">
        <v>35</v>
      </c>
      <c r="AT4" s="52" t="s">
        <v>34</v>
      </c>
      <c r="AU4" s="52" t="s">
        <v>275</v>
      </c>
      <c r="AV4" s="53" t="s">
        <v>114</v>
      </c>
      <c r="AW4" s="53" t="s">
        <v>115</v>
      </c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s="2" customFormat="1" ht="14.15" customHeight="1" thickBot="1" x14ac:dyDescent="0.45">
      <c r="A5" s="21">
        <v>100</v>
      </c>
      <c r="B5" s="21" t="s">
        <v>94</v>
      </c>
      <c r="C5" s="21">
        <v>112.282453</v>
      </c>
      <c r="D5" s="21">
        <v>620213.9</v>
      </c>
      <c r="E5" s="21">
        <v>6082124.7000000002</v>
      </c>
      <c r="F5" s="21">
        <v>828.2</v>
      </c>
      <c r="G5" s="21">
        <v>14</v>
      </c>
      <c r="H5" s="21">
        <v>0</v>
      </c>
      <c r="I5" s="21">
        <v>57.7</v>
      </c>
      <c r="J5" s="21">
        <v>0</v>
      </c>
      <c r="K5" s="21">
        <v>100</v>
      </c>
      <c r="L5" s="21">
        <v>3.5</v>
      </c>
      <c r="M5" s="21">
        <v>100</v>
      </c>
      <c r="N5" s="21">
        <v>0</v>
      </c>
      <c r="O5" s="35">
        <v>5</v>
      </c>
      <c r="P5" s="21">
        <v>90</v>
      </c>
      <c r="Q5" s="4">
        <v>781.16</v>
      </c>
      <c r="R5" s="4">
        <v>30.899999619999999</v>
      </c>
      <c r="S5" s="60">
        <f>IF(H5=1,($K5*$L5)*($M5/100),($I5*$L5)*($M5/100))</f>
        <v>201.95000000000002</v>
      </c>
      <c r="T5" s="61">
        <f>(-1.5+6.51)/(1+EXP(0.94-5.3*SIN(RADIANS($G5))))</f>
        <v>2.9294544238463396</v>
      </c>
      <c r="U5" s="62">
        <f t="shared" ref="U5" si="0">2.67*$P5+84.69*T5</f>
        <v>488.39549515554648</v>
      </c>
      <c r="V5" s="62">
        <f t="shared" ref="V5" si="1">U5*$Q5</f>
        <v>381515.02499570668</v>
      </c>
      <c r="W5" s="58">
        <f t="shared" ref="W5" si="2">V5*(100*100)</f>
        <v>3815150249.957067</v>
      </c>
      <c r="X5" s="61">
        <f t="shared" ref="X5" si="3">W5/(1000*1000*1000)</f>
        <v>3.8151502499570671</v>
      </c>
      <c r="Y5" s="58">
        <f>0.5</f>
        <v>0.5</v>
      </c>
      <c r="Z5" s="58">
        <f t="shared" ref="Z5" si="4">11.74</f>
        <v>11.74</v>
      </c>
      <c r="AA5" s="58">
        <f t="shared" ref="AA5" si="5">336/1000</f>
        <v>0.33600000000000002</v>
      </c>
      <c r="AB5" s="61">
        <f>((S5)*(R5-Z5)*Y5/1000)</f>
        <v>1.9346809616295002</v>
      </c>
      <c r="AC5" s="62">
        <f>IF(AB5-(C5*AA5/5)&gt;0,AB5-(C5*AA5/5),0)</f>
        <v>0</v>
      </c>
      <c r="AD5" s="62">
        <f>IF((AF5-C5)/AF5*AB5&gt;0,(AF5-C5)/AF5*AB5,0)</f>
        <v>0</v>
      </c>
      <c r="AE5" s="62">
        <f t="shared" ref="AE5" si="6">5*AB5/AA5</f>
        <v>28.789895262343752</v>
      </c>
      <c r="AF5" s="62">
        <f t="shared" ref="AF5" si="7">AE5*3</f>
        <v>86.369685787031258</v>
      </c>
      <c r="AG5" s="58">
        <f t="shared" ref="AG5" si="8">IFERROR(IF(AJ5&lt;AK5,0,1),"")</f>
        <v>0</v>
      </c>
      <c r="AH5" s="58">
        <f>N5</f>
        <v>0</v>
      </c>
      <c r="AI5" s="63">
        <f>O5</f>
        <v>5</v>
      </c>
      <c r="AJ5" s="58">
        <f>S5</f>
        <v>201.95000000000002</v>
      </c>
      <c r="AK5" s="58">
        <f t="shared" ref="AK5" si="9">IFERROR(70/SIN(RADIANS(AI5)),"")</f>
        <v>803.15992719688995</v>
      </c>
      <c r="AL5" s="58">
        <f t="shared" ref="AL5" si="10">IF(AH5=1,AD5,AC5)</f>
        <v>0</v>
      </c>
      <c r="AM5" s="64">
        <f t="shared" ref="AM5" si="11">AJ5/(100*100)</f>
        <v>2.0195000000000001E-2</v>
      </c>
      <c r="AN5" s="63">
        <f t="shared" ref="AN5" si="12">AM5*X5</f>
        <v>7.704695929788298E-2</v>
      </c>
      <c r="AO5" s="58">
        <f t="shared" ref="AO5" si="13">AN5*1000*1000</f>
        <v>77046.959297882975</v>
      </c>
      <c r="AP5" s="62">
        <f t="shared" ref="AP5" si="14">AO5/(AB5*1000)</f>
        <v>39.824116133850602</v>
      </c>
      <c r="AQ5" s="65">
        <f t="shared" ref="AQ5" si="15">$C5/AF5*100</f>
        <v>130.00215524329215</v>
      </c>
      <c r="AR5" s="65">
        <f t="shared" ref="AR5" si="16">($C5/AE5)*100</f>
        <v>390.00646572987642</v>
      </c>
      <c r="AS5" s="62">
        <f t="shared" ref="AS5" si="17">AP5*EXP(-0.0156*AQ5)</f>
        <v>5.2406159545508908</v>
      </c>
      <c r="AT5" s="62">
        <f t="shared" ref="AT5" si="18">AP5*EXP(-0.0156*AR5)</f>
        <v>9.0751688169847161E-2</v>
      </c>
      <c r="AU5" s="62">
        <f t="shared" ref="AU5" si="19">IF(AH5=1,AS5*AD5,AT5*AC5)</f>
        <v>0</v>
      </c>
      <c r="AV5" s="62">
        <f>IF((C5-AE5)&gt;0,(C5-AE5),0)</f>
        <v>83.492557737656256</v>
      </c>
      <c r="AW5" s="62">
        <f>IF((C5-AF5)&gt;0,(C5-AF5),0)</f>
        <v>25.912767212968745</v>
      </c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s="2" customFormat="1" x14ac:dyDescent="0.4">
      <c r="A6" s="21">
        <v>91</v>
      </c>
      <c r="B6" s="21" t="s">
        <v>94</v>
      </c>
      <c r="C6" s="21">
        <v>61.332389999999997</v>
      </c>
      <c r="D6" s="21">
        <v>619988.69999999995</v>
      </c>
      <c r="E6" s="21">
        <v>6082088.5</v>
      </c>
      <c r="F6" s="21">
        <v>828.3</v>
      </c>
      <c r="G6" s="21">
        <v>2</v>
      </c>
      <c r="H6" s="21">
        <v>0</v>
      </c>
      <c r="I6" s="21">
        <v>19.29</v>
      </c>
      <c r="J6" s="21">
        <v>0</v>
      </c>
      <c r="K6" s="21">
        <v>100</v>
      </c>
      <c r="L6" s="21">
        <v>3.1</v>
      </c>
      <c r="M6" s="21">
        <v>100</v>
      </c>
      <c r="N6" s="21">
        <v>1</v>
      </c>
      <c r="O6" s="35">
        <v>13</v>
      </c>
      <c r="P6" s="21">
        <v>90</v>
      </c>
      <c r="Q6" s="4">
        <v>781.16</v>
      </c>
      <c r="R6" s="4">
        <v>30.899999619999999</v>
      </c>
      <c r="S6" s="60">
        <f t="shared" ref="S6:S52" si="20">IF(H6=1,($K6*$L6)*($M6/100),($I6*$L6)*($M6/100))</f>
        <v>59.798999999999999</v>
      </c>
      <c r="T6" s="61">
        <f t="shared" ref="T6:T52" si="21">(-1.5+6.51)/(1+EXP(0.94-5.3*SIN(RADIANS($G6))))</f>
        <v>1.6018257472049382</v>
      </c>
      <c r="U6" s="62">
        <f t="shared" ref="U6:U52" si="22">2.67*$P6+84.69*T6</f>
        <v>375.95862253078622</v>
      </c>
      <c r="V6" s="62">
        <f t="shared" ref="V6:V52" si="23">U6*$Q6</f>
        <v>293683.83757614897</v>
      </c>
      <c r="W6" s="58">
        <f t="shared" ref="W6:W52" si="24">V6*(100*100)</f>
        <v>2936838375.7614899</v>
      </c>
      <c r="X6" s="61">
        <f t="shared" ref="X6:X52" si="25">W6/(1000*1000*1000)</f>
        <v>2.9368383757614898</v>
      </c>
      <c r="Y6" s="58">
        <f t="shared" ref="Y6:Y52" si="26">0.5</f>
        <v>0.5</v>
      </c>
      <c r="Z6" s="58">
        <f t="shared" ref="Z6:Z52" si="27">11.74</f>
        <v>11.74</v>
      </c>
      <c r="AA6" s="58">
        <f t="shared" ref="AA6:AA52" si="28">336/1000</f>
        <v>0.33600000000000002</v>
      </c>
      <c r="AB6" s="61">
        <f t="shared" ref="AB6:AB52" si="29">((S6)*(R6-Z6)*Y6/1000)</f>
        <v>0.57287440863819006</v>
      </c>
      <c r="AC6" s="62">
        <f t="shared" ref="AC6:AC52" si="30">IF(AB6-(C6*AA6/5)&gt;0,AB6-(C6*AA6/5),0)</f>
        <v>0</v>
      </c>
      <c r="AD6" s="62">
        <f t="shared" ref="AD6:AD52" si="31">IF((AF6-C6)/AF6*AB6&gt;0,(AF6-C6)/AF6*AB6,0)</f>
        <v>0</v>
      </c>
      <c r="AE6" s="62">
        <f t="shared" ref="AE6:AE52" si="32">5*AB6/AA6</f>
        <v>8.5249167952111602</v>
      </c>
      <c r="AF6" s="62">
        <f t="shared" ref="AF6:AF52" si="33">AE6*3</f>
        <v>25.574750385633479</v>
      </c>
      <c r="AG6" s="58">
        <f t="shared" ref="AG6:AG52" si="34">IFERROR(IF(AJ6&lt;AK6,0,1),"")</f>
        <v>0</v>
      </c>
      <c r="AH6" s="58">
        <f t="shared" ref="AH6:AH52" si="35">N6</f>
        <v>1</v>
      </c>
      <c r="AI6" s="63">
        <f t="shared" ref="AI6:AI52" si="36">O6</f>
        <v>13</v>
      </c>
      <c r="AJ6" s="58">
        <f t="shared" ref="AJ6:AJ52" si="37">S6</f>
        <v>59.798999999999999</v>
      </c>
      <c r="AK6" s="58">
        <f t="shared" ref="AK6:AK52" si="38">IFERROR(70/SIN(RADIANS(AI6)),"")</f>
        <v>311.17880378100608</v>
      </c>
      <c r="AL6" s="58">
        <f t="shared" ref="AL6:AL52" si="39">IF(AH6=1,AD6,AC6)</f>
        <v>0</v>
      </c>
      <c r="AM6" s="64">
        <f t="shared" ref="AM6:AM52" si="40">AJ6/(100*100)</f>
        <v>5.9798999999999998E-3</v>
      </c>
      <c r="AN6" s="63">
        <f t="shared" ref="AN6:AN52" si="41">AM6*X6</f>
        <v>1.7561999803216131E-2</v>
      </c>
      <c r="AO6" s="58">
        <f t="shared" ref="AO6:AO52" si="42">AN6*1000*1000</f>
        <v>17561.999803216131</v>
      </c>
      <c r="AP6" s="62">
        <f t="shared" ref="AP6:AP52" si="43">AO6/(AB6*1000)</f>
        <v>30.655933549141576</v>
      </c>
      <c r="AQ6" s="65">
        <f t="shared" ref="AQ6:AQ52" si="44">$C6/AF6*100</f>
        <v>239.81618227035847</v>
      </c>
      <c r="AR6" s="65">
        <f t="shared" ref="AR6:AR52" si="45">($C6/AE6)*100</f>
        <v>719.44854681107552</v>
      </c>
      <c r="AS6" s="62">
        <f t="shared" ref="AS6:AS52" si="46">AP6*EXP(-0.0156*AQ6)</f>
        <v>0.72738002381029199</v>
      </c>
      <c r="AT6" s="62">
        <f t="shared" ref="AT6:AT52" si="47">AP6*EXP(-0.0156*AR6)</f>
        <v>4.0950104773767839E-4</v>
      </c>
      <c r="AU6" s="62">
        <f t="shared" ref="AU6:AU52" si="48">IF(AH6=1,AS6*AD6,AT6*AC6)</f>
        <v>0</v>
      </c>
      <c r="AV6" s="62">
        <f t="shared" ref="AV6:AV52" si="49">IF((C6-AE6)&gt;0,(C6-AE6),0)</f>
        <v>52.807473204788835</v>
      </c>
      <c r="AW6" s="62">
        <f t="shared" ref="AW6:AW52" si="50">IF((C6-AF6)&gt;0,(C6-AF6),0)</f>
        <v>35.757639614366518</v>
      </c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s="2" customFormat="1" x14ac:dyDescent="0.4">
      <c r="A7" s="21">
        <v>98</v>
      </c>
      <c r="B7" s="21" t="s">
        <v>94</v>
      </c>
      <c r="C7" s="21">
        <v>103.495987</v>
      </c>
      <c r="D7" s="21">
        <v>620124.19999999995</v>
      </c>
      <c r="E7" s="21">
        <v>6082077.4000000004</v>
      </c>
      <c r="F7" s="21">
        <v>830.6</v>
      </c>
      <c r="G7" s="21">
        <v>8</v>
      </c>
      <c r="H7" s="21">
        <v>0</v>
      </c>
      <c r="I7" s="21">
        <v>48.57</v>
      </c>
      <c r="J7" s="21">
        <v>0</v>
      </c>
      <c r="K7" s="21">
        <v>100</v>
      </c>
      <c r="L7" s="21">
        <v>3.8</v>
      </c>
      <c r="M7" s="21">
        <v>100</v>
      </c>
      <c r="N7" s="21">
        <v>0</v>
      </c>
      <c r="O7" s="35">
        <v>7</v>
      </c>
      <c r="P7" s="21">
        <v>90</v>
      </c>
      <c r="Q7" s="4">
        <v>781.16</v>
      </c>
      <c r="R7" s="4">
        <v>30.899999619999999</v>
      </c>
      <c r="S7" s="89">
        <f t="shared" si="20"/>
        <v>184.566</v>
      </c>
      <c r="T7" s="90">
        <f t="shared" si="21"/>
        <v>2.2523775068692409</v>
      </c>
      <c r="U7" s="91">
        <f t="shared" si="22"/>
        <v>431.053851056756</v>
      </c>
      <c r="V7" s="91">
        <f t="shared" si="23"/>
        <v>336722.02629149548</v>
      </c>
      <c r="W7" s="87">
        <f t="shared" si="24"/>
        <v>3367220262.9149547</v>
      </c>
      <c r="X7" s="90">
        <f t="shared" si="25"/>
        <v>3.3672202629149548</v>
      </c>
      <c r="Y7" s="87">
        <f t="shared" si="26"/>
        <v>0.5</v>
      </c>
      <c r="Z7" s="87">
        <f t="shared" si="27"/>
        <v>11.74</v>
      </c>
      <c r="AA7" s="87">
        <f t="shared" si="28"/>
        <v>0.33600000000000002</v>
      </c>
      <c r="AB7" s="90">
        <f t="shared" si="29"/>
        <v>1.76814224493246</v>
      </c>
      <c r="AC7" s="91">
        <f t="shared" si="30"/>
        <v>0</v>
      </c>
      <c r="AD7" s="91">
        <f t="shared" si="31"/>
        <v>0</v>
      </c>
      <c r="AE7" s="91">
        <f t="shared" si="32"/>
        <v>26.311640549590177</v>
      </c>
      <c r="AF7" s="91">
        <f t="shared" si="33"/>
        <v>78.934921648770526</v>
      </c>
      <c r="AG7" s="87">
        <f t="shared" si="34"/>
        <v>0</v>
      </c>
      <c r="AH7" s="87">
        <f t="shared" si="35"/>
        <v>0</v>
      </c>
      <c r="AI7" s="92">
        <f t="shared" si="36"/>
        <v>7</v>
      </c>
      <c r="AJ7" s="87">
        <f t="shared" si="37"/>
        <v>184.566</v>
      </c>
      <c r="AK7" s="87">
        <f t="shared" si="38"/>
        <v>574.38563336875552</v>
      </c>
      <c r="AL7" s="87">
        <f t="shared" si="39"/>
        <v>0</v>
      </c>
      <c r="AM7" s="87">
        <f t="shared" si="40"/>
        <v>1.84566E-2</v>
      </c>
      <c r="AN7" s="92">
        <f t="shared" si="41"/>
        <v>6.2147437504516158E-2</v>
      </c>
      <c r="AO7" s="87">
        <f t="shared" si="42"/>
        <v>62147.437504516158</v>
      </c>
      <c r="AP7" s="91">
        <f t="shared" si="43"/>
        <v>35.148437679509257</v>
      </c>
      <c r="AQ7" s="93">
        <f t="shared" si="44"/>
        <v>131.11558843437712</v>
      </c>
      <c r="AR7" s="93">
        <f t="shared" si="45"/>
        <v>393.34676530313129</v>
      </c>
      <c r="AS7" s="91">
        <f t="shared" si="46"/>
        <v>4.5456784501629954</v>
      </c>
      <c r="AT7" s="91">
        <f t="shared" si="47"/>
        <v>7.602984117666442E-2</v>
      </c>
      <c r="AU7" s="91">
        <f t="shared" si="48"/>
        <v>0</v>
      </c>
      <c r="AV7" s="91">
        <f t="shared" si="49"/>
        <v>77.184346450409819</v>
      </c>
      <c r="AW7" s="91">
        <f t="shared" si="50"/>
        <v>24.561065351229473</v>
      </c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4" s="2" customFormat="1" x14ac:dyDescent="0.4">
      <c r="A8" s="21">
        <v>56</v>
      </c>
      <c r="B8" s="21" t="s">
        <v>94</v>
      </c>
      <c r="C8" s="21">
        <v>29.886575000000001</v>
      </c>
      <c r="D8" s="21">
        <v>619330</v>
      </c>
      <c r="E8" s="21">
        <v>6081096.7999999998</v>
      </c>
      <c r="F8" s="21">
        <v>720.4</v>
      </c>
      <c r="G8" s="21">
        <v>11</v>
      </c>
      <c r="H8" s="21">
        <v>0</v>
      </c>
      <c r="I8" s="21">
        <v>31.4</v>
      </c>
      <c r="J8" s="21">
        <v>0</v>
      </c>
      <c r="K8" s="21">
        <v>100</v>
      </c>
      <c r="L8" s="21">
        <v>3.2</v>
      </c>
      <c r="M8" s="21">
        <v>100</v>
      </c>
      <c r="N8" s="21">
        <v>1</v>
      </c>
      <c r="O8" s="35">
        <v>11</v>
      </c>
      <c r="P8" s="21">
        <v>90</v>
      </c>
      <c r="Q8" s="4">
        <v>781.16</v>
      </c>
      <c r="R8" s="4">
        <v>30.899999619999999</v>
      </c>
      <c r="S8" s="89">
        <f t="shared" si="20"/>
        <v>100.48</v>
      </c>
      <c r="T8" s="90">
        <f t="shared" si="21"/>
        <v>2.5942500198766076</v>
      </c>
      <c r="U8" s="91">
        <f t="shared" si="22"/>
        <v>460.0070341833499</v>
      </c>
      <c r="V8" s="91">
        <f t="shared" si="23"/>
        <v>359339.09482266562</v>
      </c>
      <c r="W8" s="87">
        <f t="shared" si="24"/>
        <v>3593390948.226656</v>
      </c>
      <c r="X8" s="90">
        <f t="shared" si="25"/>
        <v>3.5933909482266562</v>
      </c>
      <c r="Y8" s="87">
        <f t="shared" si="26"/>
        <v>0.5</v>
      </c>
      <c r="Z8" s="87">
        <f t="shared" si="27"/>
        <v>11.74</v>
      </c>
      <c r="AA8" s="87">
        <f t="shared" si="28"/>
        <v>0.33600000000000002</v>
      </c>
      <c r="AB8" s="90">
        <f t="shared" si="29"/>
        <v>0.96259838090880012</v>
      </c>
      <c r="AC8" s="91">
        <f t="shared" si="30"/>
        <v>0</v>
      </c>
      <c r="AD8" s="91">
        <f t="shared" si="31"/>
        <v>0.29313910090880019</v>
      </c>
      <c r="AE8" s="91">
        <f t="shared" si="32"/>
        <v>14.324380668285716</v>
      </c>
      <c r="AF8" s="91">
        <f t="shared" si="33"/>
        <v>42.973142004857152</v>
      </c>
      <c r="AG8" s="87">
        <f t="shared" si="34"/>
        <v>0</v>
      </c>
      <c r="AH8" s="87">
        <f t="shared" si="35"/>
        <v>1</v>
      </c>
      <c r="AI8" s="92">
        <f t="shared" si="36"/>
        <v>11</v>
      </c>
      <c r="AJ8" s="87">
        <f t="shared" si="37"/>
        <v>100.48</v>
      </c>
      <c r="AK8" s="87">
        <f t="shared" si="38"/>
        <v>366.85901449174941</v>
      </c>
      <c r="AL8" s="87">
        <f t="shared" si="39"/>
        <v>0.29313910090880019</v>
      </c>
      <c r="AM8" s="87">
        <f t="shared" si="40"/>
        <v>1.0048E-2</v>
      </c>
      <c r="AN8" s="92">
        <f t="shared" si="41"/>
        <v>3.6106392247781442E-2</v>
      </c>
      <c r="AO8" s="87">
        <f t="shared" si="42"/>
        <v>36106.392247781441</v>
      </c>
      <c r="AP8" s="91">
        <f t="shared" si="43"/>
        <v>37.509300829794647</v>
      </c>
      <c r="AQ8" s="93">
        <f t="shared" si="44"/>
        <v>69.547102226367329</v>
      </c>
      <c r="AR8" s="93">
        <f t="shared" si="45"/>
        <v>208.641306679102</v>
      </c>
      <c r="AS8" s="91">
        <f t="shared" si="46"/>
        <v>12.675286206546872</v>
      </c>
      <c r="AT8" s="91">
        <f t="shared" si="47"/>
        <v>1.4474227195933804</v>
      </c>
      <c r="AU8" s="91">
        <f t="shared" si="48"/>
        <v>3.7156220023488666</v>
      </c>
      <c r="AV8" s="91">
        <f t="shared" si="49"/>
        <v>15.562194331714284</v>
      </c>
      <c r="AW8" s="91">
        <f t="shared" si="50"/>
        <v>0</v>
      </c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4" s="2" customFormat="1" x14ac:dyDescent="0.4">
      <c r="A9" s="21">
        <v>59</v>
      </c>
      <c r="B9" s="21" t="s">
        <v>94</v>
      </c>
      <c r="C9" s="21">
        <v>117.807294</v>
      </c>
      <c r="D9" s="21">
        <v>619441.4</v>
      </c>
      <c r="E9" s="21">
        <v>6081181.7999999998</v>
      </c>
      <c r="F9" s="21">
        <v>730.2</v>
      </c>
      <c r="G9" s="21">
        <v>12</v>
      </c>
      <c r="H9" s="21">
        <v>0</v>
      </c>
      <c r="I9" s="21">
        <v>77.89</v>
      </c>
      <c r="J9" s="21">
        <v>0</v>
      </c>
      <c r="K9" s="21">
        <v>100</v>
      </c>
      <c r="L9" s="21">
        <v>2.8</v>
      </c>
      <c r="M9" s="21">
        <v>100</v>
      </c>
      <c r="N9" s="21">
        <v>0</v>
      </c>
      <c r="O9" s="35">
        <v>12</v>
      </c>
      <c r="P9" s="21">
        <v>90</v>
      </c>
      <c r="Q9" s="4">
        <v>781.16</v>
      </c>
      <c r="R9" s="4">
        <v>30.899999619999999</v>
      </c>
      <c r="S9" s="89">
        <f t="shared" si="20"/>
        <v>218.09199999999998</v>
      </c>
      <c r="T9" s="90">
        <f t="shared" si="21"/>
        <v>2.7073777462862987</v>
      </c>
      <c r="U9" s="91">
        <f t="shared" si="22"/>
        <v>469.58782133298661</v>
      </c>
      <c r="V9" s="91">
        <f t="shared" si="23"/>
        <v>366823.2225124758</v>
      </c>
      <c r="W9" s="87">
        <f t="shared" si="24"/>
        <v>3668232225.1247578</v>
      </c>
      <c r="X9" s="90">
        <f t="shared" si="25"/>
        <v>3.6682322251247577</v>
      </c>
      <c r="Y9" s="87">
        <f t="shared" si="26"/>
        <v>0.5</v>
      </c>
      <c r="Z9" s="87">
        <f t="shared" si="27"/>
        <v>11.74</v>
      </c>
      <c r="AA9" s="87">
        <f t="shared" si="28"/>
        <v>0.33600000000000002</v>
      </c>
      <c r="AB9" s="90">
        <f t="shared" si="29"/>
        <v>2.0893213185625199</v>
      </c>
      <c r="AC9" s="91">
        <f t="shared" si="30"/>
        <v>0</v>
      </c>
      <c r="AD9" s="91">
        <f t="shared" si="31"/>
        <v>0</v>
      </c>
      <c r="AE9" s="91">
        <f t="shared" si="32"/>
        <v>31.091091050037498</v>
      </c>
      <c r="AF9" s="91">
        <f t="shared" si="33"/>
        <v>93.273273150112487</v>
      </c>
      <c r="AG9" s="87">
        <f t="shared" si="34"/>
        <v>0</v>
      </c>
      <c r="AH9" s="87">
        <f t="shared" si="35"/>
        <v>0</v>
      </c>
      <c r="AI9" s="92">
        <f t="shared" si="36"/>
        <v>12</v>
      </c>
      <c r="AJ9" s="87">
        <f t="shared" si="37"/>
        <v>218.09199999999998</v>
      </c>
      <c r="AK9" s="87">
        <f t="shared" si="38"/>
        <v>336.68140413208914</v>
      </c>
      <c r="AL9" s="87">
        <f t="shared" si="39"/>
        <v>0</v>
      </c>
      <c r="AM9" s="87">
        <f t="shared" si="40"/>
        <v>2.1809199999999997E-2</v>
      </c>
      <c r="AN9" s="92">
        <f t="shared" si="41"/>
        <v>8.0001210244190851E-2</v>
      </c>
      <c r="AO9" s="87">
        <f t="shared" si="42"/>
        <v>80001.210244190865</v>
      </c>
      <c r="AP9" s="91">
        <f t="shared" si="43"/>
        <v>38.290525030028761</v>
      </c>
      <c r="AQ9" s="93">
        <f t="shared" si="44"/>
        <v>126.30337718544824</v>
      </c>
      <c r="AR9" s="93">
        <f t="shared" si="45"/>
        <v>378.91013155634471</v>
      </c>
      <c r="AS9" s="91">
        <f t="shared" si="46"/>
        <v>5.3381000470992941</v>
      </c>
      <c r="AT9" s="91">
        <f t="shared" si="47"/>
        <v>0.10374746281683987</v>
      </c>
      <c r="AU9" s="91">
        <f t="shared" si="48"/>
        <v>0</v>
      </c>
      <c r="AV9" s="91">
        <f t="shared" si="49"/>
        <v>86.716202949962508</v>
      </c>
      <c r="AW9" s="91">
        <f t="shared" si="50"/>
        <v>24.534020849887511</v>
      </c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4" s="2" customFormat="1" x14ac:dyDescent="0.4">
      <c r="A10" s="21">
        <v>68</v>
      </c>
      <c r="B10" s="21" t="s">
        <v>94</v>
      </c>
      <c r="C10" s="21">
        <v>2.5927039999999999</v>
      </c>
      <c r="D10" s="21">
        <v>619688.80000000005</v>
      </c>
      <c r="E10" s="21">
        <v>6081429.2999999998</v>
      </c>
      <c r="F10" s="21">
        <v>748.3</v>
      </c>
      <c r="G10" s="21">
        <v>11</v>
      </c>
      <c r="H10" s="21">
        <v>0</v>
      </c>
      <c r="I10" s="21">
        <v>77.97</v>
      </c>
      <c r="J10" s="21">
        <v>0</v>
      </c>
      <c r="K10" s="21">
        <v>100</v>
      </c>
      <c r="L10" s="21">
        <v>2.7</v>
      </c>
      <c r="M10" s="21">
        <v>100</v>
      </c>
      <c r="N10" s="21">
        <v>1</v>
      </c>
      <c r="O10" s="35">
        <v>8</v>
      </c>
      <c r="P10" s="21">
        <v>90</v>
      </c>
      <c r="Q10" s="4">
        <v>781.16</v>
      </c>
      <c r="R10" s="4">
        <v>30.899999619999999</v>
      </c>
      <c r="S10" s="89">
        <f t="shared" si="20"/>
        <v>210.51900000000001</v>
      </c>
      <c r="T10" s="90">
        <f t="shared" si="21"/>
        <v>2.5942500198766076</v>
      </c>
      <c r="U10" s="91">
        <f t="shared" si="22"/>
        <v>460.0070341833499</v>
      </c>
      <c r="V10" s="91">
        <f t="shared" si="23"/>
        <v>359339.09482266562</v>
      </c>
      <c r="W10" s="87">
        <f t="shared" si="24"/>
        <v>3593390948.226656</v>
      </c>
      <c r="X10" s="90">
        <f t="shared" si="25"/>
        <v>3.5933909482266562</v>
      </c>
      <c r="Y10" s="87">
        <f t="shared" si="26"/>
        <v>0.5</v>
      </c>
      <c r="Z10" s="87">
        <f t="shared" si="27"/>
        <v>11.74</v>
      </c>
      <c r="AA10" s="87">
        <f t="shared" si="28"/>
        <v>0.33600000000000002</v>
      </c>
      <c r="AB10" s="90">
        <f t="shared" si="29"/>
        <v>2.0167719800013901</v>
      </c>
      <c r="AC10" s="91">
        <f t="shared" si="30"/>
        <v>1.8425422712013901</v>
      </c>
      <c r="AD10" s="91">
        <f t="shared" si="31"/>
        <v>1.9586954104013903</v>
      </c>
      <c r="AE10" s="91">
        <f t="shared" si="32"/>
        <v>30.011487797639735</v>
      </c>
      <c r="AF10" s="91">
        <f t="shared" si="33"/>
        <v>90.034463392919207</v>
      </c>
      <c r="AG10" s="87">
        <f t="shared" si="34"/>
        <v>0</v>
      </c>
      <c r="AH10" s="87">
        <f t="shared" si="35"/>
        <v>1</v>
      </c>
      <c r="AI10" s="92">
        <f t="shared" si="36"/>
        <v>8</v>
      </c>
      <c r="AJ10" s="87">
        <f t="shared" si="37"/>
        <v>210.51900000000001</v>
      </c>
      <c r="AK10" s="87">
        <f t="shared" si="38"/>
        <v>502.97075740294036</v>
      </c>
      <c r="AL10" s="87">
        <f t="shared" si="39"/>
        <v>1.9586954104013903</v>
      </c>
      <c r="AM10" s="87">
        <f t="shared" si="40"/>
        <v>2.1051900000000002E-2</v>
      </c>
      <c r="AN10" s="92">
        <f t="shared" si="41"/>
        <v>7.5647706902972747E-2</v>
      </c>
      <c r="AO10" s="87">
        <f t="shared" si="42"/>
        <v>75647.706902972743</v>
      </c>
      <c r="AP10" s="91">
        <f t="shared" si="43"/>
        <v>37.509300829794647</v>
      </c>
      <c r="AQ10" s="93">
        <f t="shared" si="44"/>
        <v>2.8796795163705102</v>
      </c>
      <c r="AR10" s="93">
        <f t="shared" si="45"/>
        <v>8.6390385491115307</v>
      </c>
      <c r="AS10" s="91">
        <f t="shared" si="46"/>
        <v>35.861558355959055</v>
      </c>
      <c r="AT10" s="91">
        <f t="shared" si="47"/>
        <v>32.780044242212313</v>
      </c>
      <c r="AU10" s="91">
        <f t="shared" si="48"/>
        <v>70.241869761658634</v>
      </c>
      <c r="AV10" s="91">
        <f t="shared" si="49"/>
        <v>0</v>
      </c>
      <c r="AW10" s="91">
        <f t="shared" si="50"/>
        <v>0</v>
      </c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</row>
    <row r="11" spans="1:64" s="2" customFormat="1" x14ac:dyDescent="0.4">
      <c r="A11" s="21">
        <v>120</v>
      </c>
      <c r="B11" s="21" t="s">
        <v>94</v>
      </c>
      <c r="C11" s="21">
        <v>34.616855000000001</v>
      </c>
      <c r="D11" s="21">
        <v>620463.1</v>
      </c>
      <c r="E11" s="21">
        <v>6082664.5</v>
      </c>
      <c r="F11" s="21">
        <v>748.3</v>
      </c>
      <c r="G11" s="21">
        <v>10</v>
      </c>
      <c r="H11" s="21">
        <v>0</v>
      </c>
      <c r="I11" s="21">
        <v>22</v>
      </c>
      <c r="J11" s="21">
        <v>0</v>
      </c>
      <c r="K11" s="21">
        <v>100</v>
      </c>
      <c r="L11" s="21">
        <v>3.5</v>
      </c>
      <c r="M11" s="21">
        <v>100</v>
      </c>
      <c r="N11" s="21">
        <v>0</v>
      </c>
      <c r="O11" s="35">
        <v>12</v>
      </c>
      <c r="P11" s="21">
        <v>90</v>
      </c>
      <c r="Q11" s="4">
        <v>781.16</v>
      </c>
      <c r="R11" s="4">
        <v>30.899999619999999</v>
      </c>
      <c r="S11" s="89">
        <f t="shared" si="20"/>
        <v>77</v>
      </c>
      <c r="T11" s="90">
        <f t="shared" si="21"/>
        <v>2.4803708090655769</v>
      </c>
      <c r="U11" s="91">
        <f t="shared" si="22"/>
        <v>450.36260381976365</v>
      </c>
      <c r="V11" s="91">
        <f t="shared" si="23"/>
        <v>351805.25159984658</v>
      </c>
      <c r="W11" s="87">
        <f t="shared" si="24"/>
        <v>3518052515.998466</v>
      </c>
      <c r="X11" s="90">
        <f t="shared" si="25"/>
        <v>3.5180525159984661</v>
      </c>
      <c r="Y11" s="87">
        <f t="shared" si="26"/>
        <v>0.5</v>
      </c>
      <c r="Z11" s="87">
        <f t="shared" si="27"/>
        <v>11.74</v>
      </c>
      <c r="AA11" s="87">
        <f t="shared" si="28"/>
        <v>0.33600000000000002</v>
      </c>
      <c r="AB11" s="90">
        <f t="shared" si="29"/>
        <v>0.7376599853700001</v>
      </c>
      <c r="AC11" s="91">
        <f t="shared" si="30"/>
        <v>0</v>
      </c>
      <c r="AD11" s="91">
        <f t="shared" si="31"/>
        <v>0</v>
      </c>
      <c r="AE11" s="91">
        <f t="shared" si="32"/>
        <v>10.977083115625001</v>
      </c>
      <c r="AF11" s="91">
        <f t="shared" si="33"/>
        <v>32.931249346875006</v>
      </c>
      <c r="AG11" s="87">
        <f t="shared" si="34"/>
        <v>0</v>
      </c>
      <c r="AH11" s="87">
        <f t="shared" si="35"/>
        <v>0</v>
      </c>
      <c r="AI11" s="92">
        <f t="shared" si="36"/>
        <v>12</v>
      </c>
      <c r="AJ11" s="87">
        <f t="shared" si="37"/>
        <v>77</v>
      </c>
      <c r="AK11" s="87">
        <f t="shared" si="38"/>
        <v>336.68140413208914</v>
      </c>
      <c r="AL11" s="87">
        <f t="shared" si="39"/>
        <v>0</v>
      </c>
      <c r="AM11" s="87">
        <f t="shared" si="40"/>
        <v>7.7000000000000002E-3</v>
      </c>
      <c r="AN11" s="92">
        <f t="shared" si="41"/>
        <v>2.7089004373188189E-2</v>
      </c>
      <c r="AO11" s="87">
        <f t="shared" si="42"/>
        <v>27089.004373188189</v>
      </c>
      <c r="AP11" s="91">
        <f t="shared" si="43"/>
        <v>36.722887116617443</v>
      </c>
      <c r="AQ11" s="93">
        <f t="shared" si="44"/>
        <v>105.11855968587767</v>
      </c>
      <c r="AR11" s="93">
        <f t="shared" si="45"/>
        <v>315.35567905763304</v>
      </c>
      <c r="AS11" s="91">
        <f t="shared" si="46"/>
        <v>7.1245791428645262</v>
      </c>
      <c r="AT11" s="91">
        <f t="shared" si="47"/>
        <v>0.26816618283019428</v>
      </c>
      <c r="AU11" s="91">
        <f t="shared" si="48"/>
        <v>0</v>
      </c>
      <c r="AV11" s="91">
        <f t="shared" si="49"/>
        <v>23.639771884375001</v>
      </c>
      <c r="AW11" s="91">
        <f t="shared" si="50"/>
        <v>1.6856056531249948</v>
      </c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</row>
    <row r="12" spans="1:64" s="2" customFormat="1" x14ac:dyDescent="0.4">
      <c r="A12" s="21">
        <v>122</v>
      </c>
      <c r="B12" s="21" t="s">
        <v>94</v>
      </c>
      <c r="C12" s="21">
        <v>48.858932000000003</v>
      </c>
      <c r="D12" s="21">
        <v>620502.19999999995</v>
      </c>
      <c r="E12" s="21">
        <v>6082737.7000000002</v>
      </c>
      <c r="F12" s="21">
        <v>748.7</v>
      </c>
      <c r="G12" s="21">
        <v>11</v>
      </c>
      <c r="H12" s="21">
        <v>0</v>
      </c>
      <c r="I12" s="21">
        <v>33.700000000000003</v>
      </c>
      <c r="J12" s="21">
        <v>0</v>
      </c>
      <c r="K12" s="21">
        <v>100</v>
      </c>
      <c r="L12" s="21">
        <v>3.2</v>
      </c>
      <c r="M12" s="21">
        <v>100</v>
      </c>
      <c r="N12" s="21">
        <v>0</v>
      </c>
      <c r="O12" s="35">
        <v>6</v>
      </c>
      <c r="P12" s="21">
        <v>90</v>
      </c>
      <c r="Q12" s="4">
        <v>781.16</v>
      </c>
      <c r="R12" s="4">
        <v>30.899999619999999</v>
      </c>
      <c r="S12" s="89">
        <f t="shared" si="20"/>
        <v>107.84000000000002</v>
      </c>
      <c r="T12" s="90">
        <f t="shared" si="21"/>
        <v>2.5942500198766076</v>
      </c>
      <c r="U12" s="91">
        <f t="shared" si="22"/>
        <v>460.0070341833499</v>
      </c>
      <c r="V12" s="91">
        <f t="shared" si="23"/>
        <v>359339.09482266562</v>
      </c>
      <c r="W12" s="87">
        <f t="shared" si="24"/>
        <v>3593390948.226656</v>
      </c>
      <c r="X12" s="90">
        <f t="shared" si="25"/>
        <v>3.5933909482266562</v>
      </c>
      <c r="Y12" s="87">
        <f t="shared" si="26"/>
        <v>0.5</v>
      </c>
      <c r="Z12" s="87">
        <f t="shared" si="27"/>
        <v>11.74</v>
      </c>
      <c r="AA12" s="87">
        <f t="shared" si="28"/>
        <v>0.33600000000000002</v>
      </c>
      <c r="AB12" s="90">
        <f t="shared" si="29"/>
        <v>1.0331071795104001</v>
      </c>
      <c r="AC12" s="91">
        <f t="shared" si="30"/>
        <v>0</v>
      </c>
      <c r="AD12" s="91">
        <f t="shared" si="31"/>
        <v>0</v>
      </c>
      <c r="AE12" s="91">
        <f t="shared" si="32"/>
        <v>15.373618742714287</v>
      </c>
      <c r="AF12" s="91">
        <f t="shared" si="33"/>
        <v>46.120856228142863</v>
      </c>
      <c r="AG12" s="87">
        <f t="shared" si="34"/>
        <v>0</v>
      </c>
      <c r="AH12" s="87">
        <f t="shared" si="35"/>
        <v>0</v>
      </c>
      <c r="AI12" s="92">
        <f t="shared" si="36"/>
        <v>6</v>
      </c>
      <c r="AJ12" s="87">
        <f t="shared" si="37"/>
        <v>107.84000000000002</v>
      </c>
      <c r="AK12" s="87">
        <f t="shared" si="38"/>
        <v>669.67405634539386</v>
      </c>
      <c r="AL12" s="87">
        <f t="shared" si="39"/>
        <v>0</v>
      </c>
      <c r="AM12" s="87">
        <f t="shared" si="40"/>
        <v>1.0784000000000002E-2</v>
      </c>
      <c r="AN12" s="92">
        <f t="shared" si="41"/>
        <v>3.8751127985676266E-2</v>
      </c>
      <c r="AO12" s="87">
        <f t="shared" si="42"/>
        <v>38751.127985676263</v>
      </c>
      <c r="AP12" s="91">
        <f t="shared" si="43"/>
        <v>37.509300829794654</v>
      </c>
      <c r="AQ12" s="93">
        <f t="shared" si="44"/>
        <v>105.93674097964029</v>
      </c>
      <c r="AR12" s="93">
        <f t="shared" si="45"/>
        <v>317.8102229389209</v>
      </c>
      <c r="AS12" s="91">
        <f t="shared" si="46"/>
        <v>7.184858065595634</v>
      </c>
      <c r="AT12" s="91">
        <f t="shared" si="47"/>
        <v>0.26361895954728853</v>
      </c>
      <c r="AU12" s="91">
        <f t="shared" si="48"/>
        <v>0</v>
      </c>
      <c r="AV12" s="91">
        <f t="shared" si="49"/>
        <v>33.485313257285718</v>
      </c>
      <c r="AW12" s="91">
        <f t="shared" si="50"/>
        <v>2.7380757718571402</v>
      </c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</row>
    <row r="13" spans="1:64" s="2" customFormat="1" x14ac:dyDescent="0.4">
      <c r="A13" s="21">
        <v>69</v>
      </c>
      <c r="B13" s="21" t="s">
        <v>94</v>
      </c>
      <c r="C13" s="21">
        <v>49.795875000000002</v>
      </c>
      <c r="D13" s="21">
        <v>619712.5</v>
      </c>
      <c r="E13" s="21">
        <v>6081464.2999999998</v>
      </c>
      <c r="F13" s="21">
        <v>752.1</v>
      </c>
      <c r="G13" s="21">
        <v>11</v>
      </c>
      <c r="H13" s="21">
        <v>0</v>
      </c>
      <c r="I13" s="21">
        <v>34.200000000000003</v>
      </c>
      <c r="J13" s="21">
        <v>0</v>
      </c>
      <c r="K13" s="21">
        <v>100</v>
      </c>
      <c r="L13" s="21">
        <v>2.5</v>
      </c>
      <c r="M13" s="21">
        <v>100</v>
      </c>
      <c r="N13" s="21">
        <v>0</v>
      </c>
      <c r="O13" s="35">
        <v>7</v>
      </c>
      <c r="P13" s="21">
        <v>90</v>
      </c>
      <c r="Q13" s="4">
        <v>781.16</v>
      </c>
      <c r="R13" s="4">
        <v>30.899999619999999</v>
      </c>
      <c r="S13" s="89">
        <f t="shared" si="20"/>
        <v>85.5</v>
      </c>
      <c r="T13" s="90">
        <f t="shared" si="21"/>
        <v>2.5942500198766076</v>
      </c>
      <c r="U13" s="91">
        <f t="shared" si="22"/>
        <v>460.0070341833499</v>
      </c>
      <c r="V13" s="91">
        <f t="shared" si="23"/>
        <v>359339.09482266562</v>
      </c>
      <c r="W13" s="87">
        <f t="shared" si="24"/>
        <v>3593390948.226656</v>
      </c>
      <c r="X13" s="90">
        <f t="shared" si="25"/>
        <v>3.5933909482266562</v>
      </c>
      <c r="Y13" s="87">
        <f t="shared" si="26"/>
        <v>0.5</v>
      </c>
      <c r="Z13" s="87">
        <f t="shared" si="27"/>
        <v>11.74</v>
      </c>
      <c r="AA13" s="87">
        <f t="shared" si="28"/>
        <v>0.33600000000000002</v>
      </c>
      <c r="AB13" s="90">
        <f t="shared" si="29"/>
        <v>0.81908998375500008</v>
      </c>
      <c r="AC13" s="91">
        <f t="shared" si="30"/>
        <v>0</v>
      </c>
      <c r="AD13" s="91">
        <f t="shared" si="31"/>
        <v>0</v>
      </c>
      <c r="AE13" s="91">
        <f t="shared" si="32"/>
        <v>12.188839043973214</v>
      </c>
      <c r="AF13" s="91">
        <f t="shared" si="33"/>
        <v>36.566517131919639</v>
      </c>
      <c r="AG13" s="87">
        <f t="shared" si="34"/>
        <v>0</v>
      </c>
      <c r="AH13" s="87">
        <f t="shared" si="35"/>
        <v>0</v>
      </c>
      <c r="AI13" s="92">
        <f t="shared" si="36"/>
        <v>7</v>
      </c>
      <c r="AJ13" s="87">
        <f t="shared" si="37"/>
        <v>85.5</v>
      </c>
      <c r="AK13" s="87">
        <f t="shared" si="38"/>
        <v>574.38563336875552</v>
      </c>
      <c r="AL13" s="87">
        <f t="shared" si="39"/>
        <v>0</v>
      </c>
      <c r="AM13" s="87">
        <f t="shared" si="40"/>
        <v>8.5500000000000003E-3</v>
      </c>
      <c r="AN13" s="92">
        <f t="shared" si="41"/>
        <v>3.0723492607337911E-2</v>
      </c>
      <c r="AO13" s="87">
        <f t="shared" si="42"/>
        <v>30723.49260733791</v>
      </c>
      <c r="AP13" s="91">
        <f t="shared" si="43"/>
        <v>37.509300829794654</v>
      </c>
      <c r="AQ13" s="93">
        <f t="shared" si="44"/>
        <v>136.17888414243367</v>
      </c>
      <c r="AR13" s="93">
        <f t="shared" si="45"/>
        <v>408.53665242730096</v>
      </c>
      <c r="AS13" s="91">
        <f t="shared" si="46"/>
        <v>4.4825780196345653</v>
      </c>
      <c r="AT13" s="91">
        <f t="shared" si="47"/>
        <v>6.401852057419874E-2</v>
      </c>
      <c r="AU13" s="91">
        <f t="shared" si="48"/>
        <v>0</v>
      </c>
      <c r="AV13" s="91">
        <f t="shared" si="49"/>
        <v>37.607035956026792</v>
      </c>
      <c r="AW13" s="91">
        <f t="shared" si="50"/>
        <v>13.229357868080363</v>
      </c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</row>
    <row r="14" spans="1:64" x14ac:dyDescent="0.4">
      <c r="A14" s="21">
        <v>119</v>
      </c>
      <c r="B14" s="21" t="s">
        <v>94</v>
      </c>
      <c r="C14" s="21">
        <v>55.453921000000001</v>
      </c>
      <c r="D14" s="21">
        <v>620468.80000000005</v>
      </c>
      <c r="E14" s="21">
        <v>6082644.0999999996</v>
      </c>
      <c r="F14" s="21">
        <v>752.5</v>
      </c>
      <c r="G14" s="21">
        <v>17</v>
      </c>
      <c r="H14" s="21">
        <v>0</v>
      </c>
      <c r="I14" s="21">
        <v>41</v>
      </c>
      <c r="J14" s="21">
        <v>0</v>
      </c>
      <c r="K14" s="21">
        <v>100</v>
      </c>
      <c r="L14" s="21">
        <v>3</v>
      </c>
      <c r="M14" s="21">
        <v>100</v>
      </c>
      <c r="N14" s="21">
        <v>1</v>
      </c>
      <c r="O14" s="35">
        <v>10</v>
      </c>
      <c r="P14" s="21">
        <v>90</v>
      </c>
      <c r="Q14" s="4">
        <v>781.16</v>
      </c>
      <c r="R14" s="4">
        <v>30.899999619999999</v>
      </c>
      <c r="S14" s="89">
        <f t="shared" si="20"/>
        <v>123</v>
      </c>
      <c r="T14" s="90">
        <f t="shared" si="21"/>
        <v>3.2456920022533735</v>
      </c>
      <c r="U14" s="91">
        <f t="shared" si="22"/>
        <v>515.17765567083813</v>
      </c>
      <c r="V14" s="91">
        <f t="shared" si="23"/>
        <v>402436.17750383192</v>
      </c>
      <c r="W14" s="87">
        <f t="shared" si="24"/>
        <v>4024361775.0383191</v>
      </c>
      <c r="X14" s="90">
        <f t="shared" si="25"/>
        <v>4.0243617750383187</v>
      </c>
      <c r="Y14" s="87">
        <f t="shared" si="26"/>
        <v>0.5</v>
      </c>
      <c r="Z14" s="87">
        <f t="shared" si="27"/>
        <v>11.74</v>
      </c>
      <c r="AA14" s="87">
        <f t="shared" si="28"/>
        <v>0.33600000000000002</v>
      </c>
      <c r="AB14" s="90">
        <f t="shared" si="29"/>
        <v>1.1783399766300002</v>
      </c>
      <c r="AC14" s="91">
        <f t="shared" si="30"/>
        <v>0</v>
      </c>
      <c r="AD14" s="91">
        <f t="shared" si="31"/>
        <v>0</v>
      </c>
      <c r="AE14" s="91">
        <f t="shared" si="32"/>
        <v>17.534821080803574</v>
      </c>
      <c r="AF14" s="91">
        <f t="shared" si="33"/>
        <v>52.604463242410723</v>
      </c>
      <c r="AG14" s="87">
        <f t="shared" si="34"/>
        <v>0</v>
      </c>
      <c r="AH14" s="87">
        <f t="shared" si="35"/>
        <v>1</v>
      </c>
      <c r="AI14" s="92">
        <f t="shared" si="36"/>
        <v>10</v>
      </c>
      <c r="AJ14" s="87">
        <f t="shared" si="37"/>
        <v>123</v>
      </c>
      <c r="AK14" s="87">
        <f t="shared" si="38"/>
        <v>403.1139338200544</v>
      </c>
      <c r="AL14" s="87">
        <f t="shared" si="39"/>
        <v>0</v>
      </c>
      <c r="AM14" s="87">
        <f t="shared" si="40"/>
        <v>1.23E-2</v>
      </c>
      <c r="AN14" s="92">
        <f t="shared" si="41"/>
        <v>4.9499649832971324E-2</v>
      </c>
      <c r="AO14" s="87">
        <f t="shared" si="42"/>
        <v>49499.649832971321</v>
      </c>
      <c r="AP14" s="91">
        <f t="shared" si="43"/>
        <v>42.007952555881296</v>
      </c>
      <c r="AQ14" s="93">
        <f t="shared" si="44"/>
        <v>105.41676044570301</v>
      </c>
      <c r="AR14" s="93">
        <f t="shared" si="45"/>
        <v>316.25028133710902</v>
      </c>
      <c r="AS14" s="91">
        <f t="shared" si="46"/>
        <v>8.1121057578585614</v>
      </c>
      <c r="AT14" s="91">
        <f t="shared" si="47"/>
        <v>0.30250863939647299</v>
      </c>
      <c r="AU14" s="91">
        <f t="shared" si="48"/>
        <v>0</v>
      </c>
      <c r="AV14" s="91">
        <f t="shared" si="49"/>
        <v>37.919099919196427</v>
      </c>
      <c r="AW14" s="91">
        <f t="shared" si="50"/>
        <v>2.8494577575892777</v>
      </c>
    </row>
    <row r="15" spans="1:64" x14ac:dyDescent="0.4">
      <c r="A15" s="21">
        <v>72</v>
      </c>
      <c r="B15" s="21" t="s">
        <v>94</v>
      </c>
      <c r="C15" s="21">
        <v>52.988652999999999</v>
      </c>
      <c r="D15" s="21">
        <v>619792.9</v>
      </c>
      <c r="E15" s="21">
        <v>6081514</v>
      </c>
      <c r="F15" s="21">
        <v>753.5</v>
      </c>
      <c r="G15" s="21">
        <v>13</v>
      </c>
      <c r="H15" s="21">
        <v>0</v>
      </c>
      <c r="I15" s="21">
        <v>52</v>
      </c>
      <c r="J15" s="21">
        <v>0</v>
      </c>
      <c r="K15" s="21">
        <v>100</v>
      </c>
      <c r="L15" s="21">
        <v>2.8</v>
      </c>
      <c r="M15" s="21">
        <v>100</v>
      </c>
      <c r="N15" s="21">
        <v>0</v>
      </c>
      <c r="O15" s="35">
        <v>8</v>
      </c>
      <c r="P15" s="21">
        <v>90</v>
      </c>
      <c r="Q15" s="4">
        <v>781.16</v>
      </c>
      <c r="R15" s="4">
        <v>30.899999619999999</v>
      </c>
      <c r="S15" s="89">
        <f t="shared" si="20"/>
        <v>145.6</v>
      </c>
      <c r="T15" s="90">
        <f t="shared" si="21"/>
        <v>2.8192668236646963</v>
      </c>
      <c r="U15" s="91">
        <f t="shared" si="22"/>
        <v>479.0637072961631</v>
      </c>
      <c r="V15" s="91">
        <f t="shared" si="23"/>
        <v>374225.40559147077</v>
      </c>
      <c r="W15" s="87">
        <f t="shared" si="24"/>
        <v>3742254055.9147077</v>
      </c>
      <c r="X15" s="90">
        <f t="shared" si="25"/>
        <v>3.7422540559147075</v>
      </c>
      <c r="Y15" s="87">
        <f t="shared" si="26"/>
        <v>0.5</v>
      </c>
      <c r="Z15" s="87">
        <f t="shared" si="27"/>
        <v>11.74</v>
      </c>
      <c r="AA15" s="87">
        <f t="shared" si="28"/>
        <v>0.33600000000000002</v>
      </c>
      <c r="AB15" s="90">
        <f t="shared" si="29"/>
        <v>1.3948479723359999</v>
      </c>
      <c r="AC15" s="91">
        <f t="shared" si="30"/>
        <v>0</v>
      </c>
      <c r="AD15" s="91">
        <f t="shared" si="31"/>
        <v>0.20790214513599964</v>
      </c>
      <c r="AE15" s="91">
        <f t="shared" si="32"/>
        <v>20.756666254999995</v>
      </c>
      <c r="AF15" s="91">
        <f t="shared" si="33"/>
        <v>62.269998764999983</v>
      </c>
      <c r="AG15" s="87">
        <f t="shared" si="34"/>
        <v>0</v>
      </c>
      <c r="AH15" s="87">
        <f t="shared" si="35"/>
        <v>0</v>
      </c>
      <c r="AI15" s="92">
        <f t="shared" si="36"/>
        <v>8</v>
      </c>
      <c r="AJ15" s="87">
        <f t="shared" si="37"/>
        <v>145.6</v>
      </c>
      <c r="AK15" s="87">
        <f t="shared" si="38"/>
        <v>502.97075740294036</v>
      </c>
      <c r="AL15" s="87">
        <f t="shared" si="39"/>
        <v>0</v>
      </c>
      <c r="AM15" s="87">
        <f t="shared" si="40"/>
        <v>1.456E-2</v>
      </c>
      <c r="AN15" s="92">
        <f t="shared" si="41"/>
        <v>5.4487219054118144E-2</v>
      </c>
      <c r="AO15" s="87">
        <f t="shared" si="42"/>
        <v>54487.219054118141</v>
      </c>
      <c r="AP15" s="91">
        <f t="shared" si="43"/>
        <v>39.063195512889138</v>
      </c>
      <c r="AQ15" s="93">
        <f t="shared" si="44"/>
        <v>85.09499606700372</v>
      </c>
      <c r="AR15" s="93">
        <f t="shared" si="45"/>
        <v>255.28498820101112</v>
      </c>
      <c r="AS15" s="91">
        <f t="shared" si="46"/>
        <v>10.357374663132401</v>
      </c>
      <c r="AT15" s="91">
        <f t="shared" si="47"/>
        <v>0.72813771227086499</v>
      </c>
      <c r="AU15" s="91">
        <f t="shared" si="48"/>
        <v>0</v>
      </c>
      <c r="AV15" s="91">
        <f t="shared" si="49"/>
        <v>32.231986745</v>
      </c>
      <c r="AW15" s="91">
        <f t="shared" si="50"/>
        <v>0</v>
      </c>
    </row>
    <row r="16" spans="1:64" x14ac:dyDescent="0.4">
      <c r="A16" s="21">
        <v>123</v>
      </c>
      <c r="B16" s="21" t="s">
        <v>94</v>
      </c>
      <c r="C16" s="21">
        <v>63.482765999999998</v>
      </c>
      <c r="D16" s="21">
        <v>620528.4</v>
      </c>
      <c r="E16" s="21">
        <v>6082716.4000000004</v>
      </c>
      <c r="F16" s="21">
        <v>754.3</v>
      </c>
      <c r="G16" s="21">
        <v>13</v>
      </c>
      <c r="H16" s="21">
        <v>0</v>
      </c>
      <c r="I16" s="21">
        <v>38.299999999999997</v>
      </c>
      <c r="J16" s="21">
        <v>0</v>
      </c>
      <c r="K16" s="21">
        <v>100</v>
      </c>
      <c r="L16" s="21">
        <v>3.2</v>
      </c>
      <c r="M16" s="21">
        <v>100</v>
      </c>
      <c r="N16" s="21">
        <v>0</v>
      </c>
      <c r="O16" s="35">
        <v>12</v>
      </c>
      <c r="P16" s="21">
        <v>90</v>
      </c>
      <c r="Q16" s="4">
        <v>781.16</v>
      </c>
      <c r="R16" s="4">
        <v>30.899999619999999</v>
      </c>
      <c r="S16" s="89">
        <f t="shared" si="20"/>
        <v>122.56</v>
      </c>
      <c r="T16" s="90">
        <f t="shared" si="21"/>
        <v>2.8192668236646963</v>
      </c>
      <c r="U16" s="91">
        <f t="shared" si="22"/>
        <v>479.0637072961631</v>
      </c>
      <c r="V16" s="91">
        <f t="shared" si="23"/>
        <v>374225.40559147077</v>
      </c>
      <c r="W16" s="87">
        <f t="shared" si="24"/>
        <v>3742254055.9147077</v>
      </c>
      <c r="X16" s="90">
        <f t="shared" si="25"/>
        <v>3.7422540559147075</v>
      </c>
      <c r="Y16" s="87">
        <f t="shared" si="26"/>
        <v>0.5</v>
      </c>
      <c r="Z16" s="87">
        <f t="shared" si="27"/>
        <v>11.74</v>
      </c>
      <c r="AA16" s="87">
        <f t="shared" si="28"/>
        <v>0.33600000000000002</v>
      </c>
      <c r="AB16" s="90">
        <f t="shared" si="29"/>
        <v>1.1741247767136</v>
      </c>
      <c r="AC16" s="91">
        <f t="shared" si="30"/>
        <v>0</v>
      </c>
      <c r="AD16" s="91">
        <f t="shared" si="31"/>
        <v>0</v>
      </c>
      <c r="AE16" s="91">
        <f t="shared" si="32"/>
        <v>17.472094891571427</v>
      </c>
      <c r="AF16" s="91">
        <f t="shared" si="33"/>
        <v>52.416284674714277</v>
      </c>
      <c r="AG16" s="87">
        <f t="shared" si="34"/>
        <v>0</v>
      </c>
      <c r="AH16" s="87">
        <f t="shared" si="35"/>
        <v>0</v>
      </c>
      <c r="AI16" s="92">
        <f t="shared" si="36"/>
        <v>12</v>
      </c>
      <c r="AJ16" s="87">
        <f t="shared" si="37"/>
        <v>122.56</v>
      </c>
      <c r="AK16" s="87">
        <f t="shared" si="38"/>
        <v>336.68140413208914</v>
      </c>
      <c r="AL16" s="87">
        <f t="shared" si="39"/>
        <v>0</v>
      </c>
      <c r="AM16" s="87">
        <f t="shared" si="40"/>
        <v>1.2256E-2</v>
      </c>
      <c r="AN16" s="92">
        <f t="shared" si="41"/>
        <v>4.5865065709290651E-2</v>
      </c>
      <c r="AO16" s="87">
        <f t="shared" si="42"/>
        <v>45865.065709290648</v>
      </c>
      <c r="AP16" s="91">
        <f t="shared" si="43"/>
        <v>39.063195512889124</v>
      </c>
      <c r="AQ16" s="93">
        <f t="shared" si="44"/>
        <v>121.1126778518589</v>
      </c>
      <c r="AR16" s="93">
        <f t="shared" si="45"/>
        <v>363.33803355557677</v>
      </c>
      <c r="AS16" s="91">
        <f t="shared" si="46"/>
        <v>5.9051388183188482</v>
      </c>
      <c r="AT16" s="91">
        <f t="shared" si="47"/>
        <v>0.13494437924972288</v>
      </c>
      <c r="AU16" s="91">
        <f t="shared" si="48"/>
        <v>0</v>
      </c>
      <c r="AV16" s="91">
        <f t="shared" si="49"/>
        <v>46.010671108428568</v>
      </c>
      <c r="AW16" s="91">
        <f t="shared" si="50"/>
        <v>11.066481325285721</v>
      </c>
    </row>
    <row r="17" spans="1:49" x14ac:dyDescent="0.4">
      <c r="A17" s="21">
        <v>70</v>
      </c>
      <c r="B17" s="21" t="s">
        <v>94</v>
      </c>
      <c r="C17" s="21">
        <v>69.882838000000007</v>
      </c>
      <c r="D17" s="21">
        <v>619730.69999999995</v>
      </c>
      <c r="E17" s="21">
        <v>6081493.4000000004</v>
      </c>
      <c r="F17" s="21">
        <v>755</v>
      </c>
      <c r="G17" s="21">
        <v>7</v>
      </c>
      <c r="H17" s="21">
        <v>0</v>
      </c>
      <c r="I17" s="21">
        <v>22.29</v>
      </c>
      <c r="J17" s="21">
        <v>0</v>
      </c>
      <c r="K17" s="21">
        <v>100</v>
      </c>
      <c r="L17" s="21">
        <v>2.2999999999999998</v>
      </c>
      <c r="M17" s="21">
        <v>100</v>
      </c>
      <c r="N17" s="21">
        <v>1</v>
      </c>
      <c r="O17" s="35">
        <v>12</v>
      </c>
      <c r="P17" s="21">
        <v>90</v>
      </c>
      <c r="Q17" s="4">
        <v>781.16</v>
      </c>
      <c r="R17" s="4">
        <v>30.899999619999999</v>
      </c>
      <c r="S17" s="89">
        <f t="shared" si="20"/>
        <v>51.266999999999996</v>
      </c>
      <c r="T17" s="90">
        <f t="shared" si="21"/>
        <v>2.1392813062306222</v>
      </c>
      <c r="U17" s="91">
        <f t="shared" si="22"/>
        <v>421.47573382467135</v>
      </c>
      <c r="V17" s="91">
        <f t="shared" si="23"/>
        <v>329239.98423448025</v>
      </c>
      <c r="W17" s="87">
        <f t="shared" si="24"/>
        <v>3292399842.3448024</v>
      </c>
      <c r="X17" s="90">
        <f t="shared" si="25"/>
        <v>3.2923998423448024</v>
      </c>
      <c r="Y17" s="87">
        <f t="shared" si="26"/>
        <v>0.5</v>
      </c>
      <c r="Z17" s="87">
        <f t="shared" si="27"/>
        <v>11.74</v>
      </c>
      <c r="AA17" s="87">
        <f t="shared" si="28"/>
        <v>0.33600000000000002</v>
      </c>
      <c r="AB17" s="90">
        <f t="shared" si="29"/>
        <v>0.49113785025926993</v>
      </c>
      <c r="AC17" s="91">
        <f t="shared" si="30"/>
        <v>0</v>
      </c>
      <c r="AD17" s="91">
        <f t="shared" si="31"/>
        <v>0</v>
      </c>
      <c r="AE17" s="91">
        <f t="shared" si="32"/>
        <v>7.3085989621915157</v>
      </c>
      <c r="AF17" s="91">
        <f t="shared" si="33"/>
        <v>21.925796886574545</v>
      </c>
      <c r="AG17" s="87">
        <f t="shared" si="34"/>
        <v>0</v>
      </c>
      <c r="AH17" s="87">
        <f t="shared" si="35"/>
        <v>1</v>
      </c>
      <c r="AI17" s="92">
        <f t="shared" si="36"/>
        <v>12</v>
      </c>
      <c r="AJ17" s="87">
        <f t="shared" si="37"/>
        <v>51.266999999999996</v>
      </c>
      <c r="AK17" s="87">
        <f t="shared" si="38"/>
        <v>336.68140413208914</v>
      </c>
      <c r="AL17" s="87">
        <f t="shared" si="39"/>
        <v>0</v>
      </c>
      <c r="AM17" s="87">
        <f t="shared" si="40"/>
        <v>5.1266999999999997E-3</v>
      </c>
      <c r="AN17" s="92">
        <f t="shared" si="41"/>
        <v>1.6879146271749097E-2</v>
      </c>
      <c r="AO17" s="87">
        <f t="shared" si="42"/>
        <v>16879.146271749098</v>
      </c>
      <c r="AP17" s="91">
        <f t="shared" si="43"/>
        <v>34.367431186251792</v>
      </c>
      <c r="AQ17" s="93">
        <f t="shared" si="44"/>
        <v>318.72427880963443</v>
      </c>
      <c r="AR17" s="93">
        <f t="shared" si="45"/>
        <v>956.17283642890334</v>
      </c>
      <c r="AS17" s="91">
        <f t="shared" si="46"/>
        <v>0.2381178877270303</v>
      </c>
      <c r="AT17" s="91">
        <f t="shared" si="47"/>
        <v>1.1430939355274493E-5</v>
      </c>
      <c r="AU17" s="91">
        <f t="shared" si="48"/>
        <v>0</v>
      </c>
      <c r="AV17" s="91">
        <f t="shared" si="49"/>
        <v>62.574239037808489</v>
      </c>
      <c r="AW17" s="91">
        <f t="shared" si="50"/>
        <v>47.957041113425461</v>
      </c>
    </row>
    <row r="18" spans="1:49" x14ac:dyDescent="0.4">
      <c r="A18" s="21">
        <v>124</v>
      </c>
      <c r="B18" s="21" t="s">
        <v>94</v>
      </c>
      <c r="C18" s="21">
        <v>41.167093000000001</v>
      </c>
      <c r="D18" s="21">
        <v>620561.4</v>
      </c>
      <c r="E18" s="21">
        <v>6082696.7999999998</v>
      </c>
      <c r="F18" s="21">
        <v>760.8</v>
      </c>
      <c r="G18" s="21">
        <v>17</v>
      </c>
      <c r="H18" s="21">
        <v>0</v>
      </c>
      <c r="I18" s="21">
        <v>72</v>
      </c>
      <c r="J18" s="21">
        <v>0</v>
      </c>
      <c r="K18" s="21">
        <v>100</v>
      </c>
      <c r="L18" s="21">
        <v>4</v>
      </c>
      <c r="M18" s="21">
        <v>100</v>
      </c>
      <c r="N18" s="21">
        <v>0</v>
      </c>
      <c r="O18" s="35">
        <v>13</v>
      </c>
      <c r="P18" s="21">
        <v>90</v>
      </c>
      <c r="Q18" s="4">
        <v>781.16</v>
      </c>
      <c r="R18" s="4">
        <v>30.899999619999999</v>
      </c>
      <c r="S18" s="89">
        <f t="shared" si="20"/>
        <v>288</v>
      </c>
      <c r="T18" s="90">
        <f t="shared" si="21"/>
        <v>3.2456920022533735</v>
      </c>
      <c r="U18" s="91">
        <f t="shared" si="22"/>
        <v>515.17765567083813</v>
      </c>
      <c r="V18" s="91">
        <f t="shared" si="23"/>
        <v>402436.17750383192</v>
      </c>
      <c r="W18" s="87">
        <f t="shared" si="24"/>
        <v>4024361775.0383191</v>
      </c>
      <c r="X18" s="90">
        <f t="shared" si="25"/>
        <v>4.0243617750383187</v>
      </c>
      <c r="Y18" s="87">
        <f t="shared" si="26"/>
        <v>0.5</v>
      </c>
      <c r="Z18" s="87">
        <f t="shared" si="27"/>
        <v>11.74</v>
      </c>
      <c r="AA18" s="87">
        <f t="shared" si="28"/>
        <v>0.33600000000000002</v>
      </c>
      <c r="AB18" s="90">
        <f t="shared" si="29"/>
        <v>2.7590399452800001</v>
      </c>
      <c r="AC18" s="91">
        <f t="shared" si="30"/>
        <v>0</v>
      </c>
      <c r="AD18" s="91">
        <f t="shared" si="31"/>
        <v>1.8368970620799996</v>
      </c>
      <c r="AE18" s="91">
        <f t="shared" si="32"/>
        <v>41.057142042857137</v>
      </c>
      <c r="AF18" s="91">
        <f t="shared" si="33"/>
        <v>123.17142612857141</v>
      </c>
      <c r="AG18" s="87">
        <f t="shared" si="34"/>
        <v>0</v>
      </c>
      <c r="AH18" s="87">
        <f t="shared" si="35"/>
        <v>0</v>
      </c>
      <c r="AI18" s="92">
        <f t="shared" si="36"/>
        <v>13</v>
      </c>
      <c r="AJ18" s="87">
        <f t="shared" si="37"/>
        <v>288</v>
      </c>
      <c r="AK18" s="87">
        <f t="shared" si="38"/>
        <v>311.17880378100608</v>
      </c>
      <c r="AL18" s="87">
        <f t="shared" si="39"/>
        <v>0</v>
      </c>
      <c r="AM18" s="87">
        <f t="shared" si="40"/>
        <v>2.8799999999999999E-2</v>
      </c>
      <c r="AN18" s="92">
        <f t="shared" si="41"/>
        <v>0.11590161912110357</v>
      </c>
      <c r="AO18" s="87">
        <f t="shared" si="42"/>
        <v>115901.61912110356</v>
      </c>
      <c r="AP18" s="91">
        <f t="shared" si="43"/>
        <v>42.007952555881289</v>
      </c>
      <c r="AQ18" s="93">
        <f t="shared" si="44"/>
        <v>33.42259994377924</v>
      </c>
      <c r="AR18" s="93">
        <f t="shared" si="45"/>
        <v>100.26779983133774</v>
      </c>
      <c r="AS18" s="91">
        <f t="shared" si="46"/>
        <v>24.939836582515316</v>
      </c>
      <c r="AT18" s="91">
        <f t="shared" si="47"/>
        <v>8.7905850630789466</v>
      </c>
      <c r="AU18" s="91">
        <f t="shared" si="48"/>
        <v>0</v>
      </c>
      <c r="AV18" s="91">
        <f t="shared" si="49"/>
        <v>0.10995095714286407</v>
      </c>
      <c r="AW18" s="91">
        <f t="shared" si="50"/>
        <v>0</v>
      </c>
    </row>
    <row r="19" spans="1:49" x14ac:dyDescent="0.4">
      <c r="A19" s="21">
        <v>110</v>
      </c>
      <c r="B19" s="21" t="s">
        <v>94</v>
      </c>
      <c r="C19" s="21">
        <v>51.741317000000002</v>
      </c>
      <c r="D19" s="21">
        <v>620328.5</v>
      </c>
      <c r="E19" s="21">
        <v>6082493.2000000002</v>
      </c>
      <c r="F19" s="21">
        <v>763.8</v>
      </c>
      <c r="G19" s="21">
        <v>15</v>
      </c>
      <c r="H19" s="21">
        <v>0</v>
      </c>
      <c r="I19" s="21">
        <v>40.15</v>
      </c>
      <c r="J19" s="21">
        <v>0</v>
      </c>
      <c r="K19" s="21">
        <v>100</v>
      </c>
      <c r="L19" s="21">
        <v>4</v>
      </c>
      <c r="M19" s="21">
        <v>100</v>
      </c>
      <c r="N19" s="21">
        <v>0</v>
      </c>
      <c r="O19" s="35">
        <v>2</v>
      </c>
      <c r="P19" s="21">
        <v>90</v>
      </c>
      <c r="Q19" s="4">
        <v>781.16</v>
      </c>
      <c r="R19" s="4">
        <v>30.899999619999999</v>
      </c>
      <c r="S19" s="89">
        <f t="shared" si="20"/>
        <v>160.6</v>
      </c>
      <c r="T19" s="90">
        <f t="shared" si="21"/>
        <v>3.0375094525380737</v>
      </c>
      <c r="U19" s="91">
        <f t="shared" si="22"/>
        <v>497.54667553544948</v>
      </c>
      <c r="V19" s="91">
        <f t="shared" si="23"/>
        <v>388663.5610612717</v>
      </c>
      <c r="W19" s="87">
        <f t="shared" si="24"/>
        <v>3886635610.6127172</v>
      </c>
      <c r="X19" s="90">
        <f t="shared" si="25"/>
        <v>3.8866356106127173</v>
      </c>
      <c r="Y19" s="87">
        <f t="shared" si="26"/>
        <v>0.5</v>
      </c>
      <c r="Z19" s="87">
        <f t="shared" si="27"/>
        <v>11.74</v>
      </c>
      <c r="AA19" s="87">
        <f t="shared" si="28"/>
        <v>0.33600000000000002</v>
      </c>
      <c r="AB19" s="90">
        <f t="shared" si="29"/>
        <v>1.538547969486</v>
      </c>
      <c r="AC19" s="91">
        <f t="shared" si="30"/>
        <v>0</v>
      </c>
      <c r="AD19" s="91">
        <f t="shared" si="31"/>
        <v>0.37954246868599989</v>
      </c>
      <c r="AE19" s="91">
        <f t="shared" si="32"/>
        <v>22.895059069732142</v>
      </c>
      <c r="AF19" s="91">
        <f t="shared" si="33"/>
        <v>68.685177209196425</v>
      </c>
      <c r="AG19" s="87">
        <f t="shared" si="34"/>
        <v>0</v>
      </c>
      <c r="AH19" s="87">
        <f t="shared" si="35"/>
        <v>0</v>
      </c>
      <c r="AI19" s="92">
        <f t="shared" si="36"/>
        <v>2</v>
      </c>
      <c r="AJ19" s="87">
        <f t="shared" si="37"/>
        <v>160.6</v>
      </c>
      <c r="AK19" s="87">
        <f t="shared" si="38"/>
        <v>2005.7595843490676</v>
      </c>
      <c r="AL19" s="87">
        <f t="shared" si="39"/>
        <v>0</v>
      </c>
      <c r="AM19" s="87">
        <f t="shared" si="40"/>
        <v>1.6059999999999998E-2</v>
      </c>
      <c r="AN19" s="92">
        <f t="shared" si="41"/>
        <v>6.2419367906440232E-2</v>
      </c>
      <c r="AO19" s="87">
        <f t="shared" si="42"/>
        <v>62419.367906440231</v>
      </c>
      <c r="AP19" s="91">
        <f t="shared" si="43"/>
        <v>40.570309892445778</v>
      </c>
      <c r="AQ19" s="93">
        <f t="shared" si="44"/>
        <v>75.331125436875539</v>
      </c>
      <c r="AR19" s="93">
        <f t="shared" si="45"/>
        <v>225.99337631062659</v>
      </c>
      <c r="AS19" s="91">
        <f t="shared" si="46"/>
        <v>12.526807636550743</v>
      </c>
      <c r="AT19" s="91">
        <f t="shared" si="47"/>
        <v>1.1942756431139954</v>
      </c>
      <c r="AU19" s="91">
        <f t="shared" si="48"/>
        <v>0</v>
      </c>
      <c r="AV19" s="91">
        <f t="shared" si="49"/>
        <v>28.846257930267861</v>
      </c>
      <c r="AW19" s="91">
        <f t="shared" si="50"/>
        <v>0</v>
      </c>
    </row>
    <row r="20" spans="1:49" x14ac:dyDescent="0.4">
      <c r="A20" s="21">
        <v>116</v>
      </c>
      <c r="B20" s="21" t="s">
        <v>94</v>
      </c>
      <c r="C20" s="21">
        <v>47.597133999999997</v>
      </c>
      <c r="D20" s="21">
        <v>620409.59999999998</v>
      </c>
      <c r="E20" s="21">
        <v>6082518.5999999996</v>
      </c>
      <c r="F20" s="21">
        <v>764</v>
      </c>
      <c r="G20" s="21">
        <v>15</v>
      </c>
      <c r="H20" s="21">
        <v>0</v>
      </c>
      <c r="I20" s="21">
        <v>132</v>
      </c>
      <c r="J20" s="21">
        <v>0</v>
      </c>
      <c r="K20" s="21">
        <v>100</v>
      </c>
      <c r="L20" s="21">
        <v>3</v>
      </c>
      <c r="M20" s="21">
        <v>100</v>
      </c>
      <c r="N20" s="21">
        <v>0</v>
      </c>
      <c r="O20" s="35">
        <v>20</v>
      </c>
      <c r="P20" s="21">
        <v>90</v>
      </c>
      <c r="Q20" s="4">
        <v>781.16</v>
      </c>
      <c r="R20" s="4">
        <v>30.899999619999999</v>
      </c>
      <c r="S20" s="89">
        <f t="shared" si="20"/>
        <v>396</v>
      </c>
      <c r="T20" s="90">
        <f t="shared" si="21"/>
        <v>3.0375094525380737</v>
      </c>
      <c r="U20" s="91">
        <f t="shared" si="22"/>
        <v>497.54667553544948</v>
      </c>
      <c r="V20" s="91">
        <f t="shared" si="23"/>
        <v>388663.5610612717</v>
      </c>
      <c r="W20" s="87">
        <f t="shared" si="24"/>
        <v>3886635610.6127172</v>
      </c>
      <c r="X20" s="90">
        <f t="shared" si="25"/>
        <v>3.8866356106127173</v>
      </c>
      <c r="Y20" s="87">
        <f t="shared" si="26"/>
        <v>0.5</v>
      </c>
      <c r="Z20" s="87">
        <f t="shared" si="27"/>
        <v>11.74</v>
      </c>
      <c r="AA20" s="87">
        <f t="shared" si="28"/>
        <v>0.33600000000000002</v>
      </c>
      <c r="AB20" s="90">
        <f t="shared" si="29"/>
        <v>3.7936799247600002</v>
      </c>
      <c r="AC20" s="91">
        <f t="shared" si="30"/>
        <v>0.59515251996000007</v>
      </c>
      <c r="AD20" s="91">
        <f t="shared" si="31"/>
        <v>2.7275041231600001</v>
      </c>
      <c r="AE20" s="91">
        <f t="shared" si="32"/>
        <v>56.453570308928569</v>
      </c>
      <c r="AF20" s="91">
        <f t="shared" si="33"/>
        <v>169.36071092678571</v>
      </c>
      <c r="AG20" s="87">
        <f t="shared" si="34"/>
        <v>1</v>
      </c>
      <c r="AH20" s="87">
        <f t="shared" si="35"/>
        <v>0</v>
      </c>
      <c r="AI20" s="92">
        <f t="shared" si="36"/>
        <v>20</v>
      </c>
      <c r="AJ20" s="87">
        <f t="shared" si="37"/>
        <v>396</v>
      </c>
      <c r="AK20" s="87">
        <f t="shared" si="38"/>
        <v>204.66630801141611</v>
      </c>
      <c r="AL20" s="87">
        <f t="shared" si="39"/>
        <v>0.59515251996000007</v>
      </c>
      <c r="AM20" s="87">
        <f t="shared" si="40"/>
        <v>3.9600000000000003E-2</v>
      </c>
      <c r="AN20" s="92">
        <f t="shared" si="41"/>
        <v>0.15391077018026361</v>
      </c>
      <c r="AO20" s="87">
        <f t="shared" si="42"/>
        <v>153910.77018026361</v>
      </c>
      <c r="AP20" s="91">
        <f t="shared" si="43"/>
        <v>40.570309892445785</v>
      </c>
      <c r="AQ20" s="93">
        <f t="shared" si="44"/>
        <v>28.103999882579693</v>
      </c>
      <c r="AR20" s="93">
        <f t="shared" si="45"/>
        <v>84.311999647739086</v>
      </c>
      <c r="AS20" s="91">
        <f t="shared" si="46"/>
        <v>26.170010492652448</v>
      </c>
      <c r="AT20" s="91">
        <f t="shared" si="47"/>
        <v>10.889176575099002</v>
      </c>
      <c r="AU20" s="91">
        <f t="shared" si="48"/>
        <v>6.4807208789595743</v>
      </c>
      <c r="AV20" s="91">
        <f t="shared" si="49"/>
        <v>0</v>
      </c>
      <c r="AW20" s="91">
        <f t="shared" si="50"/>
        <v>0</v>
      </c>
    </row>
    <row r="21" spans="1:49" x14ac:dyDescent="0.4">
      <c r="A21" s="21">
        <v>114</v>
      </c>
      <c r="B21" s="21" t="s">
        <v>94</v>
      </c>
      <c r="C21" s="21">
        <v>21.892489000000001</v>
      </c>
      <c r="D21" s="21">
        <v>620386.19999999995</v>
      </c>
      <c r="E21" s="21">
        <v>6082482.4000000004</v>
      </c>
      <c r="F21" s="21">
        <v>764.1</v>
      </c>
      <c r="G21" s="21">
        <v>19</v>
      </c>
      <c r="H21" s="21">
        <v>0</v>
      </c>
      <c r="I21" s="21">
        <v>12.27</v>
      </c>
      <c r="J21" s="21">
        <v>0</v>
      </c>
      <c r="K21" s="21">
        <v>100</v>
      </c>
      <c r="L21" s="21">
        <v>3</v>
      </c>
      <c r="M21" s="21">
        <v>100</v>
      </c>
      <c r="N21" s="21">
        <v>1</v>
      </c>
      <c r="O21" s="35">
        <v>9</v>
      </c>
      <c r="P21" s="21">
        <v>90</v>
      </c>
      <c r="Q21" s="4">
        <v>781.16</v>
      </c>
      <c r="R21" s="4">
        <v>30.899999619999999</v>
      </c>
      <c r="S21" s="89">
        <f t="shared" si="20"/>
        <v>36.81</v>
      </c>
      <c r="T21" s="90">
        <f t="shared" si="21"/>
        <v>3.4412021192905757</v>
      </c>
      <c r="U21" s="91">
        <f t="shared" si="22"/>
        <v>531.73540748271887</v>
      </c>
      <c r="V21" s="91">
        <f t="shared" si="23"/>
        <v>415370.43090920063</v>
      </c>
      <c r="W21" s="87">
        <f t="shared" si="24"/>
        <v>4153704309.0920062</v>
      </c>
      <c r="X21" s="90">
        <f t="shared" si="25"/>
        <v>4.1537043090920065</v>
      </c>
      <c r="Y21" s="87">
        <f t="shared" si="26"/>
        <v>0.5</v>
      </c>
      <c r="Z21" s="87">
        <f t="shared" si="27"/>
        <v>11.74</v>
      </c>
      <c r="AA21" s="87">
        <f t="shared" si="28"/>
        <v>0.33600000000000002</v>
      </c>
      <c r="AB21" s="90">
        <f t="shared" si="29"/>
        <v>0.35263979300610004</v>
      </c>
      <c r="AC21" s="91">
        <f t="shared" si="30"/>
        <v>0</v>
      </c>
      <c r="AD21" s="91">
        <f t="shared" si="31"/>
        <v>0</v>
      </c>
      <c r="AE21" s="91">
        <f t="shared" si="32"/>
        <v>5.2476159673526785</v>
      </c>
      <c r="AF21" s="91">
        <f t="shared" si="33"/>
        <v>15.742847902058035</v>
      </c>
      <c r="AG21" s="87">
        <f t="shared" si="34"/>
        <v>0</v>
      </c>
      <c r="AH21" s="87">
        <f t="shared" si="35"/>
        <v>1</v>
      </c>
      <c r="AI21" s="92">
        <f t="shared" si="36"/>
        <v>9</v>
      </c>
      <c r="AJ21" s="87">
        <f t="shared" si="37"/>
        <v>36.81</v>
      </c>
      <c r="AK21" s="87">
        <f t="shared" si="38"/>
        <v>447.47172550497629</v>
      </c>
      <c r="AL21" s="87">
        <f t="shared" si="39"/>
        <v>0</v>
      </c>
      <c r="AM21" s="87">
        <f t="shared" si="40"/>
        <v>3.6810000000000002E-3</v>
      </c>
      <c r="AN21" s="92">
        <f t="shared" si="41"/>
        <v>1.5289785561767678E-2</v>
      </c>
      <c r="AO21" s="87">
        <f t="shared" si="42"/>
        <v>15289.785561767678</v>
      </c>
      <c r="AP21" s="91">
        <f t="shared" si="43"/>
        <v>43.358083418291912</v>
      </c>
      <c r="AQ21" s="93">
        <f t="shared" si="44"/>
        <v>139.06307890542496</v>
      </c>
      <c r="AR21" s="93">
        <f t="shared" si="45"/>
        <v>417.18923671627476</v>
      </c>
      <c r="AS21" s="91">
        <f t="shared" si="46"/>
        <v>4.9535729467253953</v>
      </c>
      <c r="AT21" s="91">
        <f t="shared" si="47"/>
        <v>6.4656997806178562E-2</v>
      </c>
      <c r="AU21" s="91">
        <f t="shared" si="48"/>
        <v>0</v>
      </c>
      <c r="AV21" s="91">
        <f t="shared" si="49"/>
        <v>16.644873032647322</v>
      </c>
      <c r="AW21" s="91">
        <f t="shared" si="50"/>
        <v>6.1496410979419664</v>
      </c>
    </row>
    <row r="22" spans="1:49" x14ac:dyDescent="0.4">
      <c r="A22" s="21">
        <v>73</v>
      </c>
      <c r="B22" s="21" t="s">
        <v>94</v>
      </c>
      <c r="C22" s="21">
        <v>91.868313000000001</v>
      </c>
      <c r="D22" s="21">
        <v>619825.4</v>
      </c>
      <c r="E22" s="21">
        <v>6081554.7999999998</v>
      </c>
      <c r="F22" s="21">
        <v>765.3</v>
      </c>
      <c r="G22" s="21">
        <v>14</v>
      </c>
      <c r="H22" s="21">
        <v>0</v>
      </c>
      <c r="I22" s="21">
        <v>43</v>
      </c>
      <c r="J22" s="21">
        <v>0</v>
      </c>
      <c r="K22" s="21">
        <v>100</v>
      </c>
      <c r="L22" s="21">
        <v>3.3</v>
      </c>
      <c r="M22" s="21">
        <v>100</v>
      </c>
      <c r="N22" s="21">
        <v>0</v>
      </c>
      <c r="O22" s="35">
        <v>10</v>
      </c>
      <c r="P22" s="21">
        <v>90</v>
      </c>
      <c r="Q22" s="4">
        <v>781.16</v>
      </c>
      <c r="R22" s="4">
        <v>30.899999619999999</v>
      </c>
      <c r="S22" s="89">
        <f t="shared" si="20"/>
        <v>141.9</v>
      </c>
      <c r="T22" s="90">
        <f t="shared" si="21"/>
        <v>2.9294544238463396</v>
      </c>
      <c r="U22" s="91">
        <f t="shared" si="22"/>
        <v>488.39549515554648</v>
      </c>
      <c r="V22" s="91">
        <f t="shared" si="23"/>
        <v>381515.02499570668</v>
      </c>
      <c r="W22" s="87">
        <f t="shared" si="24"/>
        <v>3815150249.957067</v>
      </c>
      <c r="X22" s="90">
        <f t="shared" si="25"/>
        <v>3.8151502499570671</v>
      </c>
      <c r="Y22" s="87">
        <f t="shared" si="26"/>
        <v>0.5</v>
      </c>
      <c r="Z22" s="87">
        <f t="shared" si="27"/>
        <v>11.74</v>
      </c>
      <c r="AA22" s="87">
        <f t="shared" si="28"/>
        <v>0.33600000000000002</v>
      </c>
      <c r="AB22" s="90">
        <f t="shared" si="29"/>
        <v>1.3594019730390001</v>
      </c>
      <c r="AC22" s="91">
        <f t="shared" si="30"/>
        <v>0</v>
      </c>
      <c r="AD22" s="91">
        <f t="shared" si="31"/>
        <v>0</v>
      </c>
      <c r="AE22" s="91">
        <f t="shared" si="32"/>
        <v>20.229196027366072</v>
      </c>
      <c r="AF22" s="91">
        <f t="shared" si="33"/>
        <v>60.687588082098216</v>
      </c>
      <c r="AG22" s="87">
        <f t="shared" si="34"/>
        <v>0</v>
      </c>
      <c r="AH22" s="87">
        <f t="shared" si="35"/>
        <v>0</v>
      </c>
      <c r="AI22" s="92">
        <f t="shared" si="36"/>
        <v>10</v>
      </c>
      <c r="AJ22" s="87">
        <f t="shared" si="37"/>
        <v>141.9</v>
      </c>
      <c r="AK22" s="87">
        <f t="shared" si="38"/>
        <v>403.1139338200544</v>
      </c>
      <c r="AL22" s="87">
        <f t="shared" si="39"/>
        <v>0</v>
      </c>
      <c r="AM22" s="87">
        <f t="shared" si="40"/>
        <v>1.4190000000000001E-2</v>
      </c>
      <c r="AN22" s="92">
        <f t="shared" si="41"/>
        <v>5.413698204689079E-2</v>
      </c>
      <c r="AO22" s="87">
        <f t="shared" si="42"/>
        <v>54136.982046890793</v>
      </c>
      <c r="AP22" s="91">
        <f t="shared" si="43"/>
        <v>39.824116133850609</v>
      </c>
      <c r="AQ22" s="93">
        <f t="shared" si="44"/>
        <v>151.37908080268485</v>
      </c>
      <c r="AR22" s="93">
        <f t="shared" si="45"/>
        <v>454.13724240805459</v>
      </c>
      <c r="AS22" s="91">
        <f t="shared" si="46"/>
        <v>3.7545145701867986</v>
      </c>
      <c r="AT22" s="91">
        <f t="shared" si="47"/>
        <v>3.3370989984175578E-2</v>
      </c>
      <c r="AU22" s="91">
        <f t="shared" si="48"/>
        <v>0</v>
      </c>
      <c r="AV22" s="91">
        <f t="shared" si="49"/>
        <v>71.639116972633929</v>
      </c>
      <c r="AW22" s="91">
        <f t="shared" si="50"/>
        <v>31.180724917901784</v>
      </c>
    </row>
    <row r="23" spans="1:49" x14ac:dyDescent="0.4">
      <c r="A23" s="21">
        <v>125</v>
      </c>
      <c r="B23" s="21" t="s">
        <v>94</v>
      </c>
      <c r="C23" s="21">
        <v>56.239874999999998</v>
      </c>
      <c r="D23" s="21">
        <v>620619.9</v>
      </c>
      <c r="E23" s="21">
        <v>6082655.5</v>
      </c>
      <c r="F23" s="21">
        <v>769</v>
      </c>
      <c r="G23" s="21">
        <v>14</v>
      </c>
      <c r="H23" s="21">
        <v>0</v>
      </c>
      <c r="I23" s="21">
        <v>57</v>
      </c>
      <c r="J23" s="21">
        <v>0</v>
      </c>
      <c r="K23" s="21">
        <v>100</v>
      </c>
      <c r="L23" s="21">
        <v>3.4</v>
      </c>
      <c r="M23" s="21">
        <v>100</v>
      </c>
      <c r="N23" s="21">
        <v>0</v>
      </c>
      <c r="O23" s="35">
        <v>4</v>
      </c>
      <c r="P23" s="21">
        <v>90</v>
      </c>
      <c r="Q23" s="4">
        <v>781.16</v>
      </c>
      <c r="R23" s="4">
        <v>30.899999619999999</v>
      </c>
      <c r="S23" s="89">
        <f t="shared" si="20"/>
        <v>193.79999999999998</v>
      </c>
      <c r="T23" s="90">
        <f t="shared" si="21"/>
        <v>2.9294544238463396</v>
      </c>
      <c r="U23" s="91">
        <f t="shared" si="22"/>
        <v>488.39549515554648</v>
      </c>
      <c r="V23" s="91">
        <f t="shared" si="23"/>
        <v>381515.02499570668</v>
      </c>
      <c r="W23" s="87">
        <f t="shared" si="24"/>
        <v>3815150249.957067</v>
      </c>
      <c r="X23" s="90">
        <f t="shared" si="25"/>
        <v>3.8151502499570671</v>
      </c>
      <c r="Y23" s="87">
        <f t="shared" si="26"/>
        <v>0.5</v>
      </c>
      <c r="Z23" s="87">
        <f t="shared" si="27"/>
        <v>11.74</v>
      </c>
      <c r="AA23" s="87">
        <f t="shared" si="28"/>
        <v>0.33600000000000002</v>
      </c>
      <c r="AB23" s="90">
        <f t="shared" si="29"/>
        <v>1.856603963178</v>
      </c>
      <c r="AC23" s="91">
        <f t="shared" si="30"/>
        <v>0</v>
      </c>
      <c r="AD23" s="91">
        <f t="shared" si="31"/>
        <v>0.59683076317799988</v>
      </c>
      <c r="AE23" s="91">
        <f t="shared" si="32"/>
        <v>27.628035166339284</v>
      </c>
      <c r="AF23" s="91">
        <f t="shared" si="33"/>
        <v>82.884105499017849</v>
      </c>
      <c r="AG23" s="87">
        <f t="shared" si="34"/>
        <v>0</v>
      </c>
      <c r="AH23" s="87">
        <f t="shared" si="35"/>
        <v>0</v>
      </c>
      <c r="AI23" s="92">
        <f t="shared" si="36"/>
        <v>4</v>
      </c>
      <c r="AJ23" s="87">
        <f t="shared" si="37"/>
        <v>193.79999999999998</v>
      </c>
      <c r="AK23" s="87">
        <f t="shared" si="38"/>
        <v>1003.4910918342573</v>
      </c>
      <c r="AL23" s="87">
        <f t="shared" si="39"/>
        <v>0</v>
      </c>
      <c r="AM23" s="87">
        <f t="shared" si="40"/>
        <v>1.9379999999999998E-2</v>
      </c>
      <c r="AN23" s="92">
        <f t="shared" si="41"/>
        <v>7.3937611844167958E-2</v>
      </c>
      <c r="AO23" s="87">
        <f t="shared" si="42"/>
        <v>73937.611844167957</v>
      </c>
      <c r="AP23" s="91">
        <f t="shared" si="43"/>
        <v>39.824116133850602</v>
      </c>
      <c r="AQ23" s="93">
        <f t="shared" si="44"/>
        <v>67.853630875785257</v>
      </c>
      <c r="AR23" s="93">
        <f t="shared" si="45"/>
        <v>203.56089262735571</v>
      </c>
      <c r="AS23" s="91">
        <f t="shared" si="46"/>
        <v>13.817777947485602</v>
      </c>
      <c r="AT23" s="91">
        <f t="shared" si="47"/>
        <v>1.6634982039787185</v>
      </c>
      <c r="AU23" s="91">
        <f t="shared" si="48"/>
        <v>0</v>
      </c>
      <c r="AV23" s="91">
        <f t="shared" si="49"/>
        <v>28.611839833660714</v>
      </c>
      <c r="AW23" s="91">
        <f t="shared" si="50"/>
        <v>0</v>
      </c>
    </row>
    <row r="24" spans="1:49" x14ac:dyDescent="0.4">
      <c r="A24" s="21">
        <v>109</v>
      </c>
      <c r="B24" s="21" t="s">
        <v>94</v>
      </c>
      <c r="C24" s="21">
        <v>49.578721000000002</v>
      </c>
      <c r="D24" s="21">
        <v>620304.4</v>
      </c>
      <c r="E24" s="21">
        <v>6082461.0999999996</v>
      </c>
      <c r="F24" s="21">
        <v>771</v>
      </c>
      <c r="G24" s="21">
        <v>17</v>
      </c>
      <c r="H24" s="21">
        <v>0</v>
      </c>
      <c r="I24" s="21">
        <v>39.200000000000003</v>
      </c>
      <c r="J24" s="21">
        <v>0</v>
      </c>
      <c r="K24" s="21">
        <v>100</v>
      </c>
      <c r="L24" s="21">
        <v>3.7</v>
      </c>
      <c r="M24" s="21">
        <v>100</v>
      </c>
      <c r="N24" s="21">
        <v>0</v>
      </c>
      <c r="O24" s="35">
        <v>11</v>
      </c>
      <c r="P24" s="21">
        <v>90</v>
      </c>
      <c r="Q24" s="4">
        <v>781.16</v>
      </c>
      <c r="R24" s="4">
        <v>30.899999619999999</v>
      </c>
      <c r="S24" s="89">
        <f t="shared" si="20"/>
        <v>145.04000000000002</v>
      </c>
      <c r="T24" s="90">
        <f t="shared" si="21"/>
        <v>3.2456920022533735</v>
      </c>
      <c r="U24" s="91">
        <f t="shared" si="22"/>
        <v>515.17765567083813</v>
      </c>
      <c r="V24" s="91">
        <f t="shared" si="23"/>
        <v>402436.17750383192</v>
      </c>
      <c r="W24" s="87">
        <f t="shared" si="24"/>
        <v>4024361775.0383191</v>
      </c>
      <c r="X24" s="90">
        <f t="shared" si="25"/>
        <v>4.0243617750383187</v>
      </c>
      <c r="Y24" s="87">
        <f t="shared" si="26"/>
        <v>0.5</v>
      </c>
      <c r="Z24" s="87">
        <f t="shared" si="27"/>
        <v>11.74</v>
      </c>
      <c r="AA24" s="87">
        <f t="shared" si="28"/>
        <v>0.33600000000000002</v>
      </c>
      <c r="AB24" s="90">
        <f t="shared" si="29"/>
        <v>1.3894831724424002</v>
      </c>
      <c r="AC24" s="91">
        <f t="shared" si="30"/>
        <v>0</v>
      </c>
      <c r="AD24" s="91">
        <f t="shared" si="31"/>
        <v>0.27891982204239996</v>
      </c>
      <c r="AE24" s="91">
        <f t="shared" si="32"/>
        <v>20.67683292325</v>
      </c>
      <c r="AF24" s="91">
        <f t="shared" si="33"/>
        <v>62.030498769749997</v>
      </c>
      <c r="AG24" s="87">
        <f t="shared" si="34"/>
        <v>0</v>
      </c>
      <c r="AH24" s="87">
        <f t="shared" si="35"/>
        <v>0</v>
      </c>
      <c r="AI24" s="92">
        <f t="shared" si="36"/>
        <v>11</v>
      </c>
      <c r="AJ24" s="87">
        <f t="shared" si="37"/>
        <v>145.04000000000002</v>
      </c>
      <c r="AK24" s="87">
        <f t="shared" si="38"/>
        <v>366.85901449174941</v>
      </c>
      <c r="AL24" s="87">
        <f t="shared" si="39"/>
        <v>0</v>
      </c>
      <c r="AM24" s="87">
        <f t="shared" si="40"/>
        <v>1.4504000000000001E-2</v>
      </c>
      <c r="AN24" s="92">
        <f t="shared" si="41"/>
        <v>5.8369343185155777E-2</v>
      </c>
      <c r="AO24" s="87">
        <f t="shared" si="42"/>
        <v>58369.343185155776</v>
      </c>
      <c r="AP24" s="91">
        <f t="shared" si="43"/>
        <v>42.007952555881296</v>
      </c>
      <c r="AQ24" s="93">
        <f t="shared" si="44"/>
        <v>79.926362004649448</v>
      </c>
      <c r="AR24" s="93">
        <f t="shared" si="45"/>
        <v>239.77908601394833</v>
      </c>
      <c r="AS24" s="91">
        <f t="shared" si="46"/>
        <v>12.073436390158653</v>
      </c>
      <c r="AT24" s="91">
        <f t="shared" si="47"/>
        <v>0.99730883281095806</v>
      </c>
      <c r="AU24" s="91">
        <f t="shared" si="48"/>
        <v>0</v>
      </c>
      <c r="AV24" s="91">
        <f t="shared" si="49"/>
        <v>28.901888076750001</v>
      </c>
      <c r="AW24" s="91">
        <f t="shared" si="50"/>
        <v>0</v>
      </c>
    </row>
    <row r="25" spans="1:49" x14ac:dyDescent="0.4">
      <c r="A25" s="21">
        <v>74</v>
      </c>
      <c r="B25" s="21" t="s">
        <v>94</v>
      </c>
      <c r="C25" s="21">
        <v>56.854332999999997</v>
      </c>
      <c r="D25" s="21">
        <v>619840.80000000005</v>
      </c>
      <c r="E25" s="21">
        <v>6081595.2999999998</v>
      </c>
      <c r="F25" s="21">
        <v>773.6</v>
      </c>
      <c r="G25" s="21">
        <v>19</v>
      </c>
      <c r="H25" s="21">
        <v>0</v>
      </c>
      <c r="I25" s="21">
        <v>19.97</v>
      </c>
      <c r="J25" s="21">
        <v>0</v>
      </c>
      <c r="K25" s="21">
        <v>100</v>
      </c>
      <c r="L25" s="21">
        <v>3.6</v>
      </c>
      <c r="M25" s="21">
        <v>100</v>
      </c>
      <c r="N25" s="21">
        <v>0</v>
      </c>
      <c r="O25" s="35">
        <v>18</v>
      </c>
      <c r="P25" s="21">
        <v>90</v>
      </c>
      <c r="Q25" s="4">
        <v>781.16</v>
      </c>
      <c r="R25" s="4">
        <v>30.899999619999999</v>
      </c>
      <c r="S25" s="89">
        <f t="shared" si="20"/>
        <v>71.891999999999996</v>
      </c>
      <c r="T25" s="90">
        <f t="shared" si="21"/>
        <v>3.4412021192905757</v>
      </c>
      <c r="U25" s="91">
        <f t="shared" si="22"/>
        <v>531.73540748271887</v>
      </c>
      <c r="V25" s="91">
        <f t="shared" si="23"/>
        <v>415370.43090920063</v>
      </c>
      <c r="W25" s="87">
        <f t="shared" si="24"/>
        <v>4153704309.0920062</v>
      </c>
      <c r="X25" s="90">
        <f t="shared" si="25"/>
        <v>4.1537043090920065</v>
      </c>
      <c r="Y25" s="87">
        <f t="shared" si="26"/>
        <v>0.5</v>
      </c>
      <c r="Z25" s="87">
        <f t="shared" si="27"/>
        <v>11.74</v>
      </c>
      <c r="AA25" s="87">
        <f t="shared" si="28"/>
        <v>0.33600000000000002</v>
      </c>
      <c r="AB25" s="90">
        <f t="shared" si="29"/>
        <v>0.68872534634051996</v>
      </c>
      <c r="AC25" s="91">
        <f t="shared" si="30"/>
        <v>0</v>
      </c>
      <c r="AD25" s="91">
        <f t="shared" si="31"/>
        <v>0</v>
      </c>
      <c r="AE25" s="91">
        <f t="shared" si="32"/>
        <v>10.248889082448214</v>
      </c>
      <c r="AF25" s="91">
        <f t="shared" si="33"/>
        <v>30.746667247344639</v>
      </c>
      <c r="AG25" s="87">
        <f t="shared" si="34"/>
        <v>0</v>
      </c>
      <c r="AH25" s="87">
        <f t="shared" si="35"/>
        <v>0</v>
      </c>
      <c r="AI25" s="92">
        <f t="shared" si="36"/>
        <v>18</v>
      </c>
      <c r="AJ25" s="87">
        <f t="shared" si="37"/>
        <v>71.891999999999996</v>
      </c>
      <c r="AK25" s="87">
        <f t="shared" si="38"/>
        <v>226.52475842498529</v>
      </c>
      <c r="AL25" s="87">
        <f t="shared" si="39"/>
        <v>0</v>
      </c>
      <c r="AM25" s="87">
        <f t="shared" si="40"/>
        <v>7.1891999999999998E-3</v>
      </c>
      <c r="AN25" s="92">
        <f t="shared" si="41"/>
        <v>2.9861811018924253E-2</v>
      </c>
      <c r="AO25" s="87">
        <f t="shared" si="42"/>
        <v>29861.811018924254</v>
      </c>
      <c r="AP25" s="91">
        <f t="shared" si="43"/>
        <v>43.358083418291912</v>
      </c>
      <c r="AQ25" s="93">
        <f t="shared" si="44"/>
        <v>184.91218102641704</v>
      </c>
      <c r="AR25" s="93">
        <f t="shared" si="45"/>
        <v>554.73654307925108</v>
      </c>
      <c r="AS25" s="91">
        <f t="shared" si="46"/>
        <v>2.4226527816016241</v>
      </c>
      <c r="AT25" s="91">
        <f t="shared" si="47"/>
        <v>7.5636839123123167E-3</v>
      </c>
      <c r="AU25" s="91">
        <f t="shared" si="48"/>
        <v>0</v>
      </c>
      <c r="AV25" s="91">
        <f t="shared" si="49"/>
        <v>46.605443917551781</v>
      </c>
      <c r="AW25" s="91">
        <f t="shared" si="50"/>
        <v>26.107665752655357</v>
      </c>
    </row>
    <row r="26" spans="1:49" x14ac:dyDescent="0.4">
      <c r="A26" s="21">
        <v>126</v>
      </c>
      <c r="B26" s="21" t="s">
        <v>94</v>
      </c>
      <c r="C26" s="21">
        <v>56.864032999999999</v>
      </c>
      <c r="D26" s="21">
        <v>620662.19999999995</v>
      </c>
      <c r="E26" s="21">
        <v>6082617.4000000004</v>
      </c>
      <c r="F26" s="21">
        <v>776.6</v>
      </c>
      <c r="G26" s="21">
        <v>11</v>
      </c>
      <c r="H26" s="21">
        <v>0</v>
      </c>
      <c r="I26" s="21">
        <v>69</v>
      </c>
      <c r="J26" s="21">
        <v>0</v>
      </c>
      <c r="K26" s="21">
        <v>100</v>
      </c>
      <c r="L26" s="21">
        <v>2.9</v>
      </c>
      <c r="M26" s="21">
        <v>100</v>
      </c>
      <c r="N26" s="21">
        <v>1</v>
      </c>
      <c r="O26" s="35">
        <v>8</v>
      </c>
      <c r="P26" s="21">
        <v>90</v>
      </c>
      <c r="Q26" s="4">
        <v>781.16</v>
      </c>
      <c r="R26" s="4">
        <v>30.899999619999999</v>
      </c>
      <c r="S26" s="89">
        <f t="shared" si="20"/>
        <v>200.1</v>
      </c>
      <c r="T26" s="90">
        <f t="shared" si="21"/>
        <v>2.5942500198766076</v>
      </c>
      <c r="U26" s="91">
        <f t="shared" si="22"/>
        <v>460.0070341833499</v>
      </c>
      <c r="V26" s="91">
        <f t="shared" si="23"/>
        <v>359339.09482266562</v>
      </c>
      <c r="W26" s="87">
        <f t="shared" si="24"/>
        <v>3593390948.226656</v>
      </c>
      <c r="X26" s="90">
        <f t="shared" si="25"/>
        <v>3.5933909482266562</v>
      </c>
      <c r="Y26" s="87">
        <f t="shared" si="26"/>
        <v>0.5</v>
      </c>
      <c r="Z26" s="87">
        <f t="shared" si="27"/>
        <v>11.74</v>
      </c>
      <c r="AA26" s="87">
        <f t="shared" si="28"/>
        <v>0.33600000000000002</v>
      </c>
      <c r="AB26" s="90">
        <f t="shared" si="29"/>
        <v>1.916957961981</v>
      </c>
      <c r="AC26" s="91">
        <f t="shared" si="30"/>
        <v>0</v>
      </c>
      <c r="AD26" s="91">
        <f t="shared" si="31"/>
        <v>0.64320362278099996</v>
      </c>
      <c r="AE26" s="91">
        <f t="shared" si="32"/>
        <v>28.526160148526785</v>
      </c>
      <c r="AF26" s="91">
        <f t="shared" si="33"/>
        <v>85.578480445580354</v>
      </c>
      <c r="AG26" s="87">
        <f t="shared" si="34"/>
        <v>0</v>
      </c>
      <c r="AH26" s="87">
        <f t="shared" si="35"/>
        <v>1</v>
      </c>
      <c r="AI26" s="92">
        <f t="shared" si="36"/>
        <v>8</v>
      </c>
      <c r="AJ26" s="87">
        <f t="shared" si="37"/>
        <v>200.1</v>
      </c>
      <c r="AK26" s="87">
        <f t="shared" si="38"/>
        <v>502.97075740294036</v>
      </c>
      <c r="AL26" s="87">
        <f t="shared" si="39"/>
        <v>0.64320362278099996</v>
      </c>
      <c r="AM26" s="87">
        <f t="shared" si="40"/>
        <v>2.001E-2</v>
      </c>
      <c r="AN26" s="92">
        <f t="shared" si="41"/>
        <v>7.1903752874015389E-2</v>
      </c>
      <c r="AO26" s="87">
        <f t="shared" si="42"/>
        <v>71903.752874015394</v>
      </c>
      <c r="AP26" s="91">
        <f t="shared" si="43"/>
        <v>37.509300829794654</v>
      </c>
      <c r="AQ26" s="93">
        <f t="shared" si="44"/>
        <v>66.446649559476612</v>
      </c>
      <c r="AR26" s="93">
        <f t="shared" si="45"/>
        <v>199.33994867842983</v>
      </c>
      <c r="AS26" s="91">
        <f t="shared" si="46"/>
        <v>13.303420614547393</v>
      </c>
      <c r="AT26" s="91">
        <f t="shared" si="47"/>
        <v>1.6734472576321304</v>
      </c>
      <c r="AU26" s="91">
        <f t="shared" si="48"/>
        <v>8.5568083346563206</v>
      </c>
      <c r="AV26" s="91">
        <f t="shared" si="49"/>
        <v>28.337872851473215</v>
      </c>
      <c r="AW26" s="91">
        <f t="shared" si="50"/>
        <v>0</v>
      </c>
    </row>
    <row r="27" spans="1:49" x14ac:dyDescent="0.4">
      <c r="A27" s="21">
        <v>75</v>
      </c>
      <c r="B27" s="21" t="s">
        <v>94</v>
      </c>
      <c r="C27" s="21">
        <v>63.341642</v>
      </c>
      <c r="D27" s="21">
        <v>619848.19999999995</v>
      </c>
      <c r="E27" s="21">
        <v>6081616.2000000002</v>
      </c>
      <c r="F27" s="21">
        <v>777.3</v>
      </c>
      <c r="G27" s="21">
        <v>14</v>
      </c>
      <c r="H27" s="21">
        <v>0</v>
      </c>
      <c r="I27" s="21">
        <v>15.33</v>
      </c>
      <c r="J27" s="21">
        <v>0</v>
      </c>
      <c r="K27" s="21">
        <v>100</v>
      </c>
      <c r="L27" s="21">
        <v>4</v>
      </c>
      <c r="M27" s="21">
        <v>100</v>
      </c>
      <c r="N27" s="21">
        <v>0</v>
      </c>
      <c r="O27" s="35">
        <v>5</v>
      </c>
      <c r="P27" s="21">
        <v>90</v>
      </c>
      <c r="Q27" s="4">
        <v>781.16</v>
      </c>
      <c r="R27" s="4">
        <v>30.899999619999999</v>
      </c>
      <c r="S27" s="89">
        <f t="shared" si="20"/>
        <v>61.32</v>
      </c>
      <c r="T27" s="90">
        <f t="shared" si="21"/>
        <v>2.9294544238463396</v>
      </c>
      <c r="U27" s="91">
        <f t="shared" si="22"/>
        <v>488.39549515554648</v>
      </c>
      <c r="V27" s="91">
        <f t="shared" si="23"/>
        <v>381515.02499570668</v>
      </c>
      <c r="W27" s="87">
        <f t="shared" si="24"/>
        <v>3815150249.957067</v>
      </c>
      <c r="X27" s="90">
        <f t="shared" si="25"/>
        <v>3.8151502499570671</v>
      </c>
      <c r="Y27" s="87">
        <f t="shared" si="26"/>
        <v>0.5</v>
      </c>
      <c r="Z27" s="87">
        <f t="shared" si="27"/>
        <v>11.74</v>
      </c>
      <c r="AA27" s="87">
        <f t="shared" si="28"/>
        <v>0.33600000000000002</v>
      </c>
      <c r="AB27" s="90">
        <f t="shared" si="29"/>
        <v>0.58744558834920013</v>
      </c>
      <c r="AC27" s="91">
        <f t="shared" si="30"/>
        <v>0</v>
      </c>
      <c r="AD27" s="91">
        <f t="shared" si="31"/>
        <v>0</v>
      </c>
      <c r="AE27" s="91">
        <f t="shared" si="32"/>
        <v>8.7417498266250018</v>
      </c>
      <c r="AF27" s="91">
        <f t="shared" si="33"/>
        <v>26.225249479875004</v>
      </c>
      <c r="AG27" s="87">
        <f t="shared" si="34"/>
        <v>0</v>
      </c>
      <c r="AH27" s="87">
        <f t="shared" si="35"/>
        <v>0</v>
      </c>
      <c r="AI27" s="92">
        <f t="shared" si="36"/>
        <v>5</v>
      </c>
      <c r="AJ27" s="87">
        <f t="shared" si="37"/>
        <v>61.32</v>
      </c>
      <c r="AK27" s="87">
        <f t="shared" si="38"/>
        <v>803.15992719688995</v>
      </c>
      <c r="AL27" s="87">
        <f t="shared" si="39"/>
        <v>0</v>
      </c>
      <c r="AM27" s="87">
        <f t="shared" si="40"/>
        <v>6.1320000000000003E-3</v>
      </c>
      <c r="AN27" s="92">
        <f t="shared" si="41"/>
        <v>2.3394501332736736E-2</v>
      </c>
      <c r="AO27" s="87">
        <f t="shared" si="42"/>
        <v>23394.501332736734</v>
      </c>
      <c r="AP27" s="91">
        <f t="shared" si="43"/>
        <v>39.824116133850595</v>
      </c>
      <c r="AQ27" s="93">
        <f t="shared" si="44"/>
        <v>241.52922567469855</v>
      </c>
      <c r="AR27" s="93">
        <f t="shared" si="45"/>
        <v>724.58767702409557</v>
      </c>
      <c r="AS27" s="91">
        <f t="shared" si="46"/>
        <v>0.91999848219646096</v>
      </c>
      <c r="AT27" s="91">
        <f t="shared" si="47"/>
        <v>4.9098592342440215E-4</v>
      </c>
      <c r="AU27" s="91">
        <f t="shared" si="48"/>
        <v>0</v>
      </c>
      <c r="AV27" s="91">
        <f t="shared" si="49"/>
        <v>54.599892173374997</v>
      </c>
      <c r="AW27" s="91">
        <f t="shared" si="50"/>
        <v>37.116392520124997</v>
      </c>
    </row>
    <row r="28" spans="1:49" x14ac:dyDescent="0.4">
      <c r="A28" s="21">
        <v>108</v>
      </c>
      <c r="B28" s="21" t="s">
        <v>94</v>
      </c>
      <c r="C28" s="21">
        <v>66.933215000000004</v>
      </c>
      <c r="D28" s="21">
        <v>620294.1</v>
      </c>
      <c r="E28" s="21">
        <v>6082423.2000000002</v>
      </c>
      <c r="F28" s="21">
        <v>778.5</v>
      </c>
      <c r="G28" s="21">
        <v>9</v>
      </c>
      <c r="H28" s="21">
        <v>0</v>
      </c>
      <c r="I28" s="21">
        <v>33</v>
      </c>
      <c r="J28" s="21">
        <v>0</v>
      </c>
      <c r="K28" s="21">
        <v>100</v>
      </c>
      <c r="L28" s="21">
        <v>4.5</v>
      </c>
      <c r="M28" s="21">
        <v>100</v>
      </c>
      <c r="N28" s="21">
        <v>0</v>
      </c>
      <c r="O28" s="35">
        <v>6</v>
      </c>
      <c r="P28" s="21">
        <v>90</v>
      </c>
      <c r="Q28" s="4">
        <v>781.16</v>
      </c>
      <c r="R28" s="4">
        <v>30.899999619999999</v>
      </c>
      <c r="S28" s="89">
        <f t="shared" si="20"/>
        <v>148.5</v>
      </c>
      <c r="T28" s="90">
        <f t="shared" si="21"/>
        <v>2.3662432634748507</v>
      </c>
      <c r="U28" s="91">
        <f t="shared" si="22"/>
        <v>440.69714198368507</v>
      </c>
      <c r="V28" s="91">
        <f t="shared" si="23"/>
        <v>344254.9794319754</v>
      </c>
      <c r="W28" s="87">
        <f t="shared" si="24"/>
        <v>3442549794.3197541</v>
      </c>
      <c r="X28" s="90">
        <f t="shared" si="25"/>
        <v>3.4425497943197541</v>
      </c>
      <c r="Y28" s="87">
        <f t="shared" si="26"/>
        <v>0.5</v>
      </c>
      <c r="Z28" s="87">
        <f t="shared" si="27"/>
        <v>11.74</v>
      </c>
      <c r="AA28" s="87">
        <f t="shared" si="28"/>
        <v>0.33600000000000002</v>
      </c>
      <c r="AB28" s="90">
        <f t="shared" si="29"/>
        <v>1.4226299717849999</v>
      </c>
      <c r="AC28" s="91">
        <f t="shared" si="30"/>
        <v>0</v>
      </c>
      <c r="AD28" s="91">
        <f t="shared" si="31"/>
        <v>0</v>
      </c>
      <c r="AE28" s="91">
        <f t="shared" si="32"/>
        <v>21.170088865848211</v>
      </c>
      <c r="AF28" s="91">
        <f t="shared" si="33"/>
        <v>63.510266597544629</v>
      </c>
      <c r="AG28" s="87">
        <f t="shared" si="34"/>
        <v>0</v>
      </c>
      <c r="AH28" s="87">
        <f t="shared" si="35"/>
        <v>0</v>
      </c>
      <c r="AI28" s="92">
        <f t="shared" si="36"/>
        <v>6</v>
      </c>
      <c r="AJ28" s="87">
        <f t="shared" si="37"/>
        <v>148.5</v>
      </c>
      <c r="AK28" s="87">
        <f t="shared" si="38"/>
        <v>669.67405634539386</v>
      </c>
      <c r="AL28" s="87">
        <f t="shared" si="39"/>
        <v>0</v>
      </c>
      <c r="AM28" s="87">
        <f t="shared" si="40"/>
        <v>1.485E-2</v>
      </c>
      <c r="AN28" s="92">
        <f t="shared" si="41"/>
        <v>5.1121864445648348E-2</v>
      </c>
      <c r="AO28" s="87">
        <f t="shared" si="42"/>
        <v>51121.864445648345</v>
      </c>
      <c r="AP28" s="91">
        <f t="shared" si="43"/>
        <v>35.934758482210803</v>
      </c>
      <c r="AQ28" s="93">
        <f t="shared" si="44"/>
        <v>105.38959854183278</v>
      </c>
      <c r="AR28" s="93">
        <f t="shared" si="45"/>
        <v>316.16879562549832</v>
      </c>
      <c r="AS28" s="91">
        <f t="shared" si="46"/>
        <v>6.9422594637862289</v>
      </c>
      <c r="AT28" s="91">
        <f t="shared" si="47"/>
        <v>0.25910337080710233</v>
      </c>
      <c r="AU28" s="91">
        <f t="shared" si="48"/>
        <v>0</v>
      </c>
      <c r="AV28" s="91">
        <f t="shared" si="49"/>
        <v>45.76312613415179</v>
      </c>
      <c r="AW28" s="91">
        <f t="shared" si="50"/>
        <v>3.4229484024553756</v>
      </c>
    </row>
    <row r="29" spans="1:49" x14ac:dyDescent="0.4">
      <c r="A29" s="21">
        <v>76</v>
      </c>
      <c r="B29" s="21" t="s">
        <v>94</v>
      </c>
      <c r="C29" s="21">
        <v>55.777912999999998</v>
      </c>
      <c r="D29" s="21">
        <v>619830.69999999995</v>
      </c>
      <c r="E29" s="21">
        <v>6081625.7000000002</v>
      </c>
      <c r="F29" s="21">
        <v>781.9</v>
      </c>
      <c r="G29" s="21">
        <v>13</v>
      </c>
      <c r="H29" s="21">
        <v>0</v>
      </c>
      <c r="I29" s="21">
        <v>26.44</v>
      </c>
      <c r="J29" s="21">
        <v>0</v>
      </c>
      <c r="K29" s="21">
        <v>100</v>
      </c>
      <c r="L29" s="21">
        <v>3.9</v>
      </c>
      <c r="M29" s="21">
        <v>100</v>
      </c>
      <c r="N29" s="21">
        <v>0</v>
      </c>
      <c r="O29" s="35">
        <v>3</v>
      </c>
      <c r="P29" s="21">
        <v>90</v>
      </c>
      <c r="Q29" s="4">
        <v>781.16</v>
      </c>
      <c r="R29" s="4">
        <v>30.899999619999999</v>
      </c>
      <c r="S29" s="89">
        <f t="shared" si="20"/>
        <v>103.116</v>
      </c>
      <c r="T29" s="90">
        <f t="shared" si="21"/>
        <v>2.8192668236646963</v>
      </c>
      <c r="U29" s="91">
        <f t="shared" si="22"/>
        <v>479.0637072961631</v>
      </c>
      <c r="V29" s="91">
        <f t="shared" si="23"/>
        <v>374225.40559147077</v>
      </c>
      <c r="W29" s="87">
        <f t="shared" si="24"/>
        <v>3742254055.9147077</v>
      </c>
      <c r="X29" s="90">
        <f t="shared" si="25"/>
        <v>3.7422540559147075</v>
      </c>
      <c r="Y29" s="87">
        <f t="shared" si="26"/>
        <v>0.5</v>
      </c>
      <c r="Z29" s="87">
        <f t="shared" si="27"/>
        <v>11.74</v>
      </c>
      <c r="AA29" s="87">
        <f t="shared" si="28"/>
        <v>0.33600000000000002</v>
      </c>
      <c r="AB29" s="90">
        <f t="shared" si="29"/>
        <v>0.98785126040796001</v>
      </c>
      <c r="AC29" s="91">
        <f t="shared" si="30"/>
        <v>0</v>
      </c>
      <c r="AD29" s="91">
        <f t="shared" si="31"/>
        <v>0</v>
      </c>
      <c r="AE29" s="91">
        <f t="shared" si="32"/>
        <v>14.700167565594642</v>
      </c>
      <c r="AF29" s="91">
        <f t="shared" si="33"/>
        <v>44.100502696783927</v>
      </c>
      <c r="AG29" s="87">
        <f t="shared" si="34"/>
        <v>0</v>
      </c>
      <c r="AH29" s="87">
        <f t="shared" si="35"/>
        <v>0</v>
      </c>
      <c r="AI29" s="92">
        <f t="shared" si="36"/>
        <v>3</v>
      </c>
      <c r="AJ29" s="87">
        <f t="shared" si="37"/>
        <v>103.116</v>
      </c>
      <c r="AK29" s="87">
        <f t="shared" si="38"/>
        <v>1337.5125826508179</v>
      </c>
      <c r="AL29" s="87">
        <f t="shared" si="39"/>
        <v>0</v>
      </c>
      <c r="AM29" s="87">
        <f t="shared" si="40"/>
        <v>1.0311600000000001E-2</v>
      </c>
      <c r="AN29" s="92">
        <f t="shared" si="41"/>
        <v>3.8588626922970097E-2</v>
      </c>
      <c r="AO29" s="87">
        <f t="shared" si="42"/>
        <v>38588.626922970099</v>
      </c>
      <c r="AP29" s="91">
        <f t="shared" si="43"/>
        <v>39.063195512889138</v>
      </c>
      <c r="AQ29" s="93">
        <f t="shared" si="44"/>
        <v>126.47908660702785</v>
      </c>
      <c r="AR29" s="93">
        <f t="shared" si="45"/>
        <v>379.43725982108356</v>
      </c>
      <c r="AS29" s="91">
        <f t="shared" si="46"/>
        <v>5.4309114881609304</v>
      </c>
      <c r="AT29" s="91">
        <f t="shared" si="47"/>
        <v>0.10497421601509599</v>
      </c>
      <c r="AU29" s="91">
        <f t="shared" si="48"/>
        <v>0</v>
      </c>
      <c r="AV29" s="91">
        <f t="shared" si="49"/>
        <v>41.077745434405358</v>
      </c>
      <c r="AW29" s="91">
        <f t="shared" si="50"/>
        <v>11.677410303216071</v>
      </c>
    </row>
    <row r="30" spans="1:49" x14ac:dyDescent="0.4">
      <c r="A30" s="21">
        <v>107</v>
      </c>
      <c r="B30" s="21" t="s">
        <v>94</v>
      </c>
      <c r="C30" s="21">
        <v>76.281851000000003</v>
      </c>
      <c r="D30" s="21">
        <v>620287.9</v>
      </c>
      <c r="E30" s="21">
        <v>6082390.7999999998</v>
      </c>
      <c r="F30" s="21">
        <v>783.3</v>
      </c>
      <c r="G30" s="21">
        <v>20</v>
      </c>
      <c r="H30" s="21">
        <v>0</v>
      </c>
      <c r="I30" s="21">
        <v>27.3</v>
      </c>
      <c r="J30" s="21">
        <v>0</v>
      </c>
      <c r="K30" s="21">
        <v>100</v>
      </c>
      <c r="L30" s="21">
        <v>4.2</v>
      </c>
      <c r="M30" s="21">
        <v>100</v>
      </c>
      <c r="N30" s="21">
        <v>0</v>
      </c>
      <c r="O30" s="35">
        <v>15</v>
      </c>
      <c r="P30" s="21">
        <v>90</v>
      </c>
      <c r="Q30" s="4">
        <v>781.16</v>
      </c>
      <c r="R30" s="4">
        <v>30.899999619999999</v>
      </c>
      <c r="S30" s="89">
        <f t="shared" si="20"/>
        <v>114.66000000000001</v>
      </c>
      <c r="T30" s="90">
        <f t="shared" si="21"/>
        <v>3.533596116398225</v>
      </c>
      <c r="U30" s="91">
        <f t="shared" si="22"/>
        <v>539.56025509776566</v>
      </c>
      <c r="V30" s="91">
        <f t="shared" si="23"/>
        <v>421482.88887217059</v>
      </c>
      <c r="W30" s="87">
        <f t="shared" si="24"/>
        <v>4214828888.7217059</v>
      </c>
      <c r="X30" s="90">
        <f t="shared" si="25"/>
        <v>4.2148288887217058</v>
      </c>
      <c r="Y30" s="87">
        <f t="shared" si="26"/>
        <v>0.5</v>
      </c>
      <c r="Z30" s="87">
        <f t="shared" si="27"/>
        <v>11.74</v>
      </c>
      <c r="AA30" s="87">
        <f t="shared" si="28"/>
        <v>0.33600000000000002</v>
      </c>
      <c r="AB30" s="90">
        <f t="shared" si="29"/>
        <v>1.0984427782146002</v>
      </c>
      <c r="AC30" s="91">
        <f t="shared" si="30"/>
        <v>0</v>
      </c>
      <c r="AD30" s="91">
        <f t="shared" si="31"/>
        <v>0</v>
      </c>
      <c r="AE30" s="91">
        <f t="shared" si="32"/>
        <v>16.345874675812503</v>
      </c>
      <c r="AF30" s="91">
        <f t="shared" si="33"/>
        <v>49.037624027437509</v>
      </c>
      <c r="AG30" s="87">
        <f t="shared" si="34"/>
        <v>0</v>
      </c>
      <c r="AH30" s="87">
        <f t="shared" si="35"/>
        <v>0</v>
      </c>
      <c r="AI30" s="92">
        <f t="shared" si="36"/>
        <v>15</v>
      </c>
      <c r="AJ30" s="87">
        <f t="shared" si="37"/>
        <v>114.66000000000001</v>
      </c>
      <c r="AK30" s="87">
        <f t="shared" si="38"/>
        <v>270.45923136093916</v>
      </c>
      <c r="AL30" s="87">
        <f t="shared" si="39"/>
        <v>0</v>
      </c>
      <c r="AM30" s="87">
        <f t="shared" si="40"/>
        <v>1.1466E-2</v>
      </c>
      <c r="AN30" s="92">
        <f t="shared" si="41"/>
        <v>4.8327228038083078E-2</v>
      </c>
      <c r="AO30" s="87">
        <f t="shared" si="42"/>
        <v>48327.228038083078</v>
      </c>
      <c r="AP30" s="91">
        <f t="shared" si="43"/>
        <v>43.996127059648714</v>
      </c>
      <c r="AQ30" s="93">
        <f t="shared" si="44"/>
        <v>155.5578038555025</v>
      </c>
      <c r="AR30" s="93">
        <f t="shared" si="45"/>
        <v>466.67341156650747</v>
      </c>
      <c r="AS30" s="91">
        <f t="shared" si="46"/>
        <v>3.8860758460228002</v>
      </c>
      <c r="AT30" s="91">
        <f t="shared" si="47"/>
        <v>3.0318305354711559E-2</v>
      </c>
      <c r="AU30" s="91">
        <f t="shared" si="48"/>
        <v>0</v>
      </c>
      <c r="AV30" s="91">
        <f t="shared" si="49"/>
        <v>59.9359763241875</v>
      </c>
      <c r="AW30" s="91">
        <f t="shared" si="50"/>
        <v>27.244226972562494</v>
      </c>
    </row>
    <row r="31" spans="1:49" x14ac:dyDescent="0.4">
      <c r="A31" s="21">
        <v>77</v>
      </c>
      <c r="B31" s="21" t="s">
        <v>94</v>
      </c>
      <c r="C31" s="21">
        <v>4.3078500000000002</v>
      </c>
      <c r="D31" s="21">
        <v>619836</v>
      </c>
      <c r="E31" s="21">
        <v>6081651.5999999996</v>
      </c>
      <c r="F31" s="21">
        <v>786.2</v>
      </c>
      <c r="G31" s="21">
        <v>17</v>
      </c>
      <c r="H31" s="21">
        <v>0</v>
      </c>
      <c r="I31" s="21">
        <v>25.85</v>
      </c>
      <c r="J31" s="21">
        <v>0</v>
      </c>
      <c r="K31" s="21">
        <v>100</v>
      </c>
      <c r="L31" s="21">
        <v>3.4</v>
      </c>
      <c r="M31" s="21">
        <v>100</v>
      </c>
      <c r="N31" s="21">
        <v>1</v>
      </c>
      <c r="O31" s="35">
        <v>11</v>
      </c>
      <c r="P31" s="21">
        <v>90</v>
      </c>
      <c r="Q31" s="4">
        <v>781.16</v>
      </c>
      <c r="R31" s="4">
        <v>30.899999619999999</v>
      </c>
      <c r="S31" s="89">
        <f t="shared" si="20"/>
        <v>87.89</v>
      </c>
      <c r="T31" s="90">
        <f t="shared" si="21"/>
        <v>3.2456920022533735</v>
      </c>
      <c r="U31" s="91">
        <f t="shared" si="22"/>
        <v>515.17765567083813</v>
      </c>
      <c r="V31" s="91">
        <f t="shared" si="23"/>
        <v>402436.17750383192</v>
      </c>
      <c r="W31" s="87">
        <f t="shared" si="24"/>
        <v>4024361775.0383191</v>
      </c>
      <c r="X31" s="90">
        <f t="shared" si="25"/>
        <v>4.0243617750383187</v>
      </c>
      <c r="Y31" s="87">
        <f t="shared" si="26"/>
        <v>0.5</v>
      </c>
      <c r="Z31" s="87">
        <f t="shared" si="27"/>
        <v>11.74</v>
      </c>
      <c r="AA31" s="87">
        <f t="shared" si="28"/>
        <v>0.33600000000000002</v>
      </c>
      <c r="AB31" s="90">
        <f t="shared" si="29"/>
        <v>0.84198618330090003</v>
      </c>
      <c r="AC31" s="91">
        <f t="shared" si="30"/>
        <v>0.55249866330089992</v>
      </c>
      <c r="AD31" s="91">
        <f t="shared" si="31"/>
        <v>0.74549034330090003</v>
      </c>
      <c r="AE31" s="91">
        <f t="shared" si="32"/>
        <v>12.529556299120534</v>
      </c>
      <c r="AF31" s="91">
        <f t="shared" si="33"/>
        <v>37.5886688973616</v>
      </c>
      <c r="AG31" s="87">
        <f t="shared" si="34"/>
        <v>0</v>
      </c>
      <c r="AH31" s="87">
        <f t="shared" si="35"/>
        <v>1</v>
      </c>
      <c r="AI31" s="92">
        <f t="shared" si="36"/>
        <v>11</v>
      </c>
      <c r="AJ31" s="87">
        <f t="shared" si="37"/>
        <v>87.89</v>
      </c>
      <c r="AK31" s="87">
        <f t="shared" si="38"/>
        <v>366.85901449174941</v>
      </c>
      <c r="AL31" s="87">
        <f t="shared" si="39"/>
        <v>0.74549034330090003</v>
      </c>
      <c r="AM31" s="87">
        <f t="shared" si="40"/>
        <v>8.7889999999999999E-3</v>
      </c>
      <c r="AN31" s="92">
        <f t="shared" si="41"/>
        <v>3.5370115640811786E-2</v>
      </c>
      <c r="AO31" s="87">
        <f t="shared" si="42"/>
        <v>35370.115640811789</v>
      </c>
      <c r="AP31" s="91">
        <f t="shared" si="43"/>
        <v>42.007952555881303</v>
      </c>
      <c r="AQ31" s="93">
        <f t="shared" si="44"/>
        <v>11.460501598933645</v>
      </c>
      <c r="AR31" s="93">
        <f t="shared" si="45"/>
        <v>34.38150479680094</v>
      </c>
      <c r="AS31" s="91">
        <f t="shared" si="46"/>
        <v>35.13069051177564</v>
      </c>
      <c r="AT31" s="91">
        <f t="shared" si="47"/>
        <v>24.569540190634342</v>
      </c>
      <c r="AU31" s="91">
        <f t="shared" si="48"/>
        <v>26.189590530021292</v>
      </c>
      <c r="AV31" s="91">
        <f t="shared" si="49"/>
        <v>0</v>
      </c>
      <c r="AW31" s="91">
        <f t="shared" si="50"/>
        <v>0</v>
      </c>
    </row>
    <row r="32" spans="1:49" x14ac:dyDescent="0.4">
      <c r="A32" s="21">
        <v>127</v>
      </c>
      <c r="B32" s="21" t="s">
        <v>94</v>
      </c>
      <c r="C32" s="21">
        <v>109.3621</v>
      </c>
      <c r="D32" s="21">
        <v>620704.19999999995</v>
      </c>
      <c r="E32" s="21">
        <v>6082561.9000000004</v>
      </c>
      <c r="F32" s="21">
        <v>787.3</v>
      </c>
      <c r="G32" s="21">
        <v>19</v>
      </c>
      <c r="H32" s="21">
        <v>0</v>
      </c>
      <c r="I32" s="21">
        <v>60</v>
      </c>
      <c r="J32" s="21">
        <v>0</v>
      </c>
      <c r="K32" s="21">
        <v>100</v>
      </c>
      <c r="L32" s="21">
        <v>3.2</v>
      </c>
      <c r="M32" s="21">
        <v>100</v>
      </c>
      <c r="N32" s="21">
        <v>0</v>
      </c>
      <c r="O32" s="35">
        <v>10</v>
      </c>
      <c r="P32" s="21">
        <v>90</v>
      </c>
      <c r="Q32" s="4">
        <v>781.16</v>
      </c>
      <c r="R32" s="4">
        <v>30.899999619999999</v>
      </c>
      <c r="S32" s="89">
        <f t="shared" si="20"/>
        <v>192</v>
      </c>
      <c r="T32" s="90">
        <f t="shared" si="21"/>
        <v>3.4412021192905757</v>
      </c>
      <c r="U32" s="91">
        <f t="shared" si="22"/>
        <v>531.73540748271887</v>
      </c>
      <c r="V32" s="91">
        <f t="shared" si="23"/>
        <v>415370.43090920063</v>
      </c>
      <c r="W32" s="87">
        <f t="shared" si="24"/>
        <v>4153704309.0920062</v>
      </c>
      <c r="X32" s="90">
        <f t="shared" si="25"/>
        <v>4.1537043090920065</v>
      </c>
      <c r="Y32" s="87">
        <f t="shared" si="26"/>
        <v>0.5</v>
      </c>
      <c r="Z32" s="87">
        <f t="shared" si="27"/>
        <v>11.74</v>
      </c>
      <c r="AA32" s="87">
        <f t="shared" si="28"/>
        <v>0.33600000000000002</v>
      </c>
      <c r="AB32" s="90">
        <f t="shared" si="29"/>
        <v>1.83935996352</v>
      </c>
      <c r="AC32" s="91">
        <f t="shared" si="30"/>
        <v>0</v>
      </c>
      <c r="AD32" s="91">
        <f t="shared" si="31"/>
        <v>0</v>
      </c>
      <c r="AE32" s="91">
        <f t="shared" si="32"/>
        <v>27.37142802857143</v>
      </c>
      <c r="AF32" s="91">
        <f t="shared" si="33"/>
        <v>82.114284085714289</v>
      </c>
      <c r="AG32" s="87">
        <f t="shared" si="34"/>
        <v>0</v>
      </c>
      <c r="AH32" s="87">
        <f t="shared" si="35"/>
        <v>0</v>
      </c>
      <c r="AI32" s="92">
        <f t="shared" si="36"/>
        <v>10</v>
      </c>
      <c r="AJ32" s="87">
        <f t="shared" si="37"/>
        <v>192</v>
      </c>
      <c r="AK32" s="87">
        <f t="shared" si="38"/>
        <v>403.1139338200544</v>
      </c>
      <c r="AL32" s="87">
        <f t="shared" si="39"/>
        <v>0</v>
      </c>
      <c r="AM32" s="87">
        <f t="shared" si="40"/>
        <v>1.9199999999999998E-2</v>
      </c>
      <c r="AN32" s="92">
        <f t="shared" si="41"/>
        <v>7.9751122734566512E-2</v>
      </c>
      <c r="AO32" s="87">
        <f t="shared" si="42"/>
        <v>79751.12273456651</v>
      </c>
      <c r="AP32" s="91">
        <f t="shared" si="43"/>
        <v>43.358083418291898</v>
      </c>
      <c r="AQ32" s="93">
        <f t="shared" si="44"/>
        <v>133.18279665672213</v>
      </c>
      <c r="AR32" s="93">
        <f t="shared" si="45"/>
        <v>399.5483899701664</v>
      </c>
      <c r="AS32" s="91">
        <f t="shared" si="46"/>
        <v>5.4294700185310711</v>
      </c>
      <c r="AT32" s="91">
        <f t="shared" si="47"/>
        <v>8.5139709638557867E-2</v>
      </c>
      <c r="AU32" s="91">
        <f t="shared" si="48"/>
        <v>0</v>
      </c>
      <c r="AV32" s="91">
        <f t="shared" si="49"/>
        <v>81.990671971428569</v>
      </c>
      <c r="AW32" s="91">
        <f t="shared" si="50"/>
        <v>27.247815914285709</v>
      </c>
    </row>
    <row r="33" spans="1:49" x14ac:dyDescent="0.4">
      <c r="A33" s="21">
        <v>106</v>
      </c>
      <c r="B33" s="21" t="s">
        <v>94</v>
      </c>
      <c r="C33" s="21">
        <v>99.606858000000003</v>
      </c>
      <c r="D33" s="21">
        <v>620302.4</v>
      </c>
      <c r="E33" s="21">
        <v>6082367.5999999996</v>
      </c>
      <c r="F33" s="21">
        <v>788.5</v>
      </c>
      <c r="G33" s="21">
        <v>11</v>
      </c>
      <c r="H33" s="21">
        <v>0</v>
      </c>
      <c r="I33" s="21">
        <v>60.95</v>
      </c>
      <c r="J33" s="21">
        <v>0</v>
      </c>
      <c r="K33" s="21">
        <v>100</v>
      </c>
      <c r="L33" s="21">
        <v>3.5</v>
      </c>
      <c r="M33" s="21">
        <v>100</v>
      </c>
      <c r="N33" s="21">
        <v>0</v>
      </c>
      <c r="O33" s="35">
        <v>4</v>
      </c>
      <c r="P33" s="21">
        <v>90</v>
      </c>
      <c r="Q33" s="4">
        <v>781.16</v>
      </c>
      <c r="R33" s="4">
        <v>30.899999619999999</v>
      </c>
      <c r="S33" s="89">
        <f t="shared" si="20"/>
        <v>213.32500000000002</v>
      </c>
      <c r="T33" s="90">
        <f t="shared" si="21"/>
        <v>2.5942500198766076</v>
      </c>
      <c r="U33" s="91">
        <f t="shared" si="22"/>
        <v>460.0070341833499</v>
      </c>
      <c r="V33" s="91">
        <f t="shared" si="23"/>
        <v>359339.09482266562</v>
      </c>
      <c r="W33" s="87">
        <f t="shared" si="24"/>
        <v>3593390948.226656</v>
      </c>
      <c r="X33" s="90">
        <f t="shared" si="25"/>
        <v>3.5933909482266562</v>
      </c>
      <c r="Y33" s="87">
        <f t="shared" si="26"/>
        <v>0.5</v>
      </c>
      <c r="Z33" s="87">
        <f t="shared" si="27"/>
        <v>11.74</v>
      </c>
      <c r="AA33" s="87">
        <f t="shared" si="28"/>
        <v>0.33600000000000002</v>
      </c>
      <c r="AB33" s="90">
        <f t="shared" si="29"/>
        <v>2.0436534594682501</v>
      </c>
      <c r="AC33" s="91">
        <f t="shared" si="30"/>
        <v>0</v>
      </c>
      <c r="AD33" s="91">
        <f t="shared" si="31"/>
        <v>0</v>
      </c>
      <c r="AE33" s="91">
        <f t="shared" si="32"/>
        <v>30.411509813515622</v>
      </c>
      <c r="AF33" s="91">
        <f t="shared" si="33"/>
        <v>91.234529440546865</v>
      </c>
      <c r="AG33" s="87">
        <f t="shared" si="34"/>
        <v>0</v>
      </c>
      <c r="AH33" s="87">
        <f t="shared" si="35"/>
        <v>0</v>
      </c>
      <c r="AI33" s="92">
        <f t="shared" si="36"/>
        <v>4</v>
      </c>
      <c r="AJ33" s="87">
        <f t="shared" si="37"/>
        <v>213.32500000000002</v>
      </c>
      <c r="AK33" s="87">
        <f t="shared" si="38"/>
        <v>1003.4910918342573</v>
      </c>
      <c r="AL33" s="87">
        <f t="shared" si="39"/>
        <v>0</v>
      </c>
      <c r="AM33" s="87">
        <f t="shared" si="40"/>
        <v>2.1332500000000001E-2</v>
      </c>
      <c r="AN33" s="92">
        <f t="shared" si="41"/>
        <v>7.6656012403045148E-2</v>
      </c>
      <c r="AO33" s="87">
        <f t="shared" si="42"/>
        <v>76656.012403045155</v>
      </c>
      <c r="AP33" s="91">
        <f t="shared" si="43"/>
        <v>37.509300829794661</v>
      </c>
      <c r="AQ33" s="93">
        <f t="shared" si="44"/>
        <v>109.17671040864958</v>
      </c>
      <c r="AR33" s="93">
        <f t="shared" si="45"/>
        <v>327.53013122594876</v>
      </c>
      <c r="AS33" s="91">
        <f t="shared" si="46"/>
        <v>6.8307347316485441</v>
      </c>
      <c r="AT33" s="91">
        <f t="shared" si="47"/>
        <v>0.22652926824714736</v>
      </c>
      <c r="AU33" s="91">
        <f t="shared" si="48"/>
        <v>0</v>
      </c>
      <c r="AV33" s="91">
        <f t="shared" si="49"/>
        <v>69.195348186484381</v>
      </c>
      <c r="AW33" s="91">
        <f t="shared" si="50"/>
        <v>8.3723285594531376</v>
      </c>
    </row>
    <row r="34" spans="1:49" x14ac:dyDescent="0.4">
      <c r="A34" s="21">
        <v>78</v>
      </c>
      <c r="B34" s="21" t="s">
        <v>94</v>
      </c>
      <c r="C34" s="21">
        <v>93.388644999999997</v>
      </c>
      <c r="D34" s="21">
        <v>619847.80000000005</v>
      </c>
      <c r="E34" s="21">
        <v>6081674.5999999996</v>
      </c>
      <c r="F34" s="21">
        <v>794.2</v>
      </c>
      <c r="G34" s="21">
        <v>14</v>
      </c>
      <c r="H34" s="21">
        <v>0</v>
      </c>
      <c r="I34" s="21">
        <v>28.81</v>
      </c>
      <c r="J34" s="21">
        <v>0</v>
      </c>
      <c r="K34" s="21">
        <v>100</v>
      </c>
      <c r="L34" s="21">
        <v>5.6</v>
      </c>
      <c r="M34" s="21">
        <v>100</v>
      </c>
      <c r="N34" s="21">
        <v>1</v>
      </c>
      <c r="O34" s="35">
        <v>15</v>
      </c>
      <c r="P34" s="21">
        <v>90</v>
      </c>
      <c r="Q34" s="4">
        <v>781.16</v>
      </c>
      <c r="R34" s="4">
        <v>30.899999619999999</v>
      </c>
      <c r="S34" s="89">
        <f t="shared" si="20"/>
        <v>161.33599999999998</v>
      </c>
      <c r="T34" s="90">
        <f t="shared" si="21"/>
        <v>2.9294544238463396</v>
      </c>
      <c r="U34" s="91">
        <f t="shared" si="22"/>
        <v>488.39549515554648</v>
      </c>
      <c r="V34" s="91">
        <f t="shared" si="23"/>
        <v>381515.02499570668</v>
      </c>
      <c r="W34" s="87">
        <f t="shared" si="24"/>
        <v>3815150249.957067</v>
      </c>
      <c r="X34" s="90">
        <f t="shared" si="25"/>
        <v>3.8151502499570671</v>
      </c>
      <c r="Y34" s="87">
        <f t="shared" si="26"/>
        <v>0.5</v>
      </c>
      <c r="Z34" s="87">
        <f t="shared" si="27"/>
        <v>11.74</v>
      </c>
      <c r="AA34" s="87">
        <f t="shared" si="28"/>
        <v>0.33600000000000002</v>
      </c>
      <c r="AB34" s="90">
        <f t="shared" si="29"/>
        <v>1.5455988493461599</v>
      </c>
      <c r="AC34" s="91">
        <f t="shared" si="30"/>
        <v>0</v>
      </c>
      <c r="AD34" s="91">
        <f t="shared" si="31"/>
        <v>0</v>
      </c>
      <c r="AE34" s="91">
        <f t="shared" si="32"/>
        <v>22.999982877174997</v>
      </c>
      <c r="AF34" s="91">
        <f t="shared" si="33"/>
        <v>68.999948631524987</v>
      </c>
      <c r="AG34" s="87">
        <f t="shared" si="34"/>
        <v>0</v>
      </c>
      <c r="AH34" s="87">
        <f t="shared" si="35"/>
        <v>1</v>
      </c>
      <c r="AI34" s="92">
        <f t="shared" si="36"/>
        <v>15</v>
      </c>
      <c r="AJ34" s="87">
        <f t="shared" si="37"/>
        <v>161.33599999999998</v>
      </c>
      <c r="AK34" s="87">
        <f t="shared" si="38"/>
        <v>270.45923136093916</v>
      </c>
      <c r="AL34" s="87">
        <f t="shared" si="39"/>
        <v>0</v>
      </c>
      <c r="AM34" s="87">
        <f t="shared" si="40"/>
        <v>1.6133599999999998E-2</v>
      </c>
      <c r="AN34" s="92">
        <f t="shared" si="41"/>
        <v>6.1552108072707327E-2</v>
      </c>
      <c r="AO34" s="87">
        <f t="shared" si="42"/>
        <v>61552.108072707328</v>
      </c>
      <c r="AP34" s="91">
        <f t="shared" si="43"/>
        <v>39.824116133850602</v>
      </c>
      <c r="AQ34" s="93">
        <f t="shared" si="44"/>
        <v>135.345963079938</v>
      </c>
      <c r="AR34" s="93">
        <f t="shared" si="45"/>
        <v>406.03788923981404</v>
      </c>
      <c r="AS34" s="91">
        <f t="shared" si="46"/>
        <v>4.8214544601017622</v>
      </c>
      <c r="AT34" s="91">
        <f t="shared" si="47"/>
        <v>7.0671110512632182E-2</v>
      </c>
      <c r="AU34" s="91">
        <f t="shared" si="48"/>
        <v>0</v>
      </c>
      <c r="AV34" s="91">
        <f t="shared" si="49"/>
        <v>70.388662122824996</v>
      </c>
      <c r="AW34" s="91">
        <f t="shared" si="50"/>
        <v>24.38869636847501</v>
      </c>
    </row>
    <row r="35" spans="1:49" x14ac:dyDescent="0.4">
      <c r="A35" s="21">
        <v>105</v>
      </c>
      <c r="B35" s="21" t="s">
        <v>94</v>
      </c>
      <c r="C35" s="21">
        <v>57.874946000000001</v>
      </c>
      <c r="D35" s="21">
        <v>620290.6</v>
      </c>
      <c r="E35" s="21">
        <v>6082307.7999999998</v>
      </c>
      <c r="F35" s="21">
        <v>794.8</v>
      </c>
      <c r="G35" s="21">
        <v>10</v>
      </c>
      <c r="H35" s="21">
        <v>0</v>
      </c>
      <c r="I35" s="21">
        <v>38.15</v>
      </c>
      <c r="J35" s="21">
        <v>0</v>
      </c>
      <c r="K35" s="21">
        <v>100</v>
      </c>
      <c r="L35" s="21">
        <v>2.8</v>
      </c>
      <c r="M35" s="21">
        <v>100</v>
      </c>
      <c r="N35" s="21">
        <v>0</v>
      </c>
      <c r="O35" s="35">
        <v>6</v>
      </c>
      <c r="P35" s="21">
        <v>90</v>
      </c>
      <c r="Q35" s="4">
        <v>781.16</v>
      </c>
      <c r="R35" s="4">
        <v>30.899999619999999</v>
      </c>
      <c r="S35" s="89">
        <f t="shared" si="20"/>
        <v>106.82</v>
      </c>
      <c r="T35" s="90">
        <f t="shared" si="21"/>
        <v>2.4803708090655769</v>
      </c>
      <c r="U35" s="91">
        <f t="shared" si="22"/>
        <v>450.36260381976365</v>
      </c>
      <c r="V35" s="91">
        <f t="shared" si="23"/>
        <v>351805.25159984658</v>
      </c>
      <c r="W35" s="87">
        <f t="shared" si="24"/>
        <v>3518052515.998466</v>
      </c>
      <c r="X35" s="90">
        <f t="shared" si="25"/>
        <v>3.5180525159984661</v>
      </c>
      <c r="Y35" s="87">
        <f t="shared" si="26"/>
        <v>0.5</v>
      </c>
      <c r="Z35" s="87">
        <f t="shared" si="27"/>
        <v>11.74</v>
      </c>
      <c r="AA35" s="87">
        <f t="shared" si="28"/>
        <v>0.33600000000000002</v>
      </c>
      <c r="AB35" s="90">
        <f t="shared" si="29"/>
        <v>1.0233355797042001</v>
      </c>
      <c r="AC35" s="91">
        <f t="shared" si="30"/>
        <v>0</v>
      </c>
      <c r="AD35" s="91">
        <f t="shared" si="31"/>
        <v>0</v>
      </c>
      <c r="AE35" s="91">
        <f t="shared" si="32"/>
        <v>15.228208031312501</v>
      </c>
      <c r="AF35" s="91">
        <f t="shared" si="33"/>
        <v>45.684624093937501</v>
      </c>
      <c r="AG35" s="87">
        <f t="shared" si="34"/>
        <v>0</v>
      </c>
      <c r="AH35" s="87">
        <f t="shared" si="35"/>
        <v>0</v>
      </c>
      <c r="AI35" s="92">
        <f t="shared" si="36"/>
        <v>6</v>
      </c>
      <c r="AJ35" s="87">
        <f t="shared" si="37"/>
        <v>106.82</v>
      </c>
      <c r="AK35" s="87">
        <f t="shared" si="38"/>
        <v>669.67405634539386</v>
      </c>
      <c r="AL35" s="87">
        <f t="shared" si="39"/>
        <v>0</v>
      </c>
      <c r="AM35" s="87">
        <f t="shared" si="40"/>
        <v>1.0681999999999999E-2</v>
      </c>
      <c r="AN35" s="92">
        <f t="shared" si="41"/>
        <v>3.7579836975895613E-2</v>
      </c>
      <c r="AO35" s="87">
        <f t="shared" si="42"/>
        <v>37579.836975895611</v>
      </c>
      <c r="AP35" s="91">
        <f t="shared" si="43"/>
        <v>36.722887116617443</v>
      </c>
      <c r="AQ35" s="93">
        <f t="shared" si="44"/>
        <v>126.68364279630835</v>
      </c>
      <c r="AR35" s="93">
        <f t="shared" si="45"/>
        <v>380.050928388925</v>
      </c>
      <c r="AS35" s="91">
        <f t="shared" si="46"/>
        <v>5.0892748776088839</v>
      </c>
      <c r="AT35" s="91">
        <f t="shared" si="47"/>
        <v>9.7744896125909073E-2</v>
      </c>
      <c r="AU35" s="91">
        <f t="shared" si="48"/>
        <v>0</v>
      </c>
      <c r="AV35" s="91">
        <f t="shared" si="49"/>
        <v>42.646737968687503</v>
      </c>
      <c r="AW35" s="91">
        <f t="shared" si="50"/>
        <v>12.190321906062501</v>
      </c>
    </row>
    <row r="36" spans="1:49" x14ac:dyDescent="0.4">
      <c r="A36" s="21">
        <v>104</v>
      </c>
      <c r="B36" s="21" t="s">
        <v>94</v>
      </c>
      <c r="C36" s="21">
        <v>58.627426</v>
      </c>
      <c r="D36" s="21">
        <v>620281.69999999995</v>
      </c>
      <c r="E36" s="21">
        <v>6082270.7000000002</v>
      </c>
      <c r="F36" s="21">
        <v>800.9</v>
      </c>
      <c r="G36" s="21">
        <v>8</v>
      </c>
      <c r="H36" s="21">
        <v>0</v>
      </c>
      <c r="I36" s="21">
        <v>22.14</v>
      </c>
      <c r="J36" s="21">
        <v>0</v>
      </c>
      <c r="K36" s="21">
        <v>100</v>
      </c>
      <c r="L36" s="21">
        <v>3.8</v>
      </c>
      <c r="M36" s="21">
        <v>100</v>
      </c>
      <c r="N36" s="21">
        <v>1</v>
      </c>
      <c r="O36" s="35">
        <v>7</v>
      </c>
      <c r="P36" s="21">
        <v>90</v>
      </c>
      <c r="Q36" s="4">
        <v>781.16</v>
      </c>
      <c r="R36" s="4">
        <v>30.899999619999999</v>
      </c>
      <c r="S36" s="89">
        <f t="shared" si="20"/>
        <v>84.132000000000005</v>
      </c>
      <c r="T36" s="90">
        <f t="shared" si="21"/>
        <v>2.2523775068692409</v>
      </c>
      <c r="U36" s="91">
        <f t="shared" si="22"/>
        <v>431.053851056756</v>
      </c>
      <c r="V36" s="91">
        <f t="shared" si="23"/>
        <v>336722.02629149548</v>
      </c>
      <c r="W36" s="87">
        <f t="shared" si="24"/>
        <v>3367220262.9149547</v>
      </c>
      <c r="X36" s="90">
        <f t="shared" si="25"/>
        <v>3.3672202629149548</v>
      </c>
      <c r="Y36" s="87">
        <f t="shared" si="26"/>
        <v>0.5</v>
      </c>
      <c r="Z36" s="87">
        <f t="shared" si="27"/>
        <v>11.74</v>
      </c>
      <c r="AA36" s="87">
        <f t="shared" si="28"/>
        <v>0.33600000000000002</v>
      </c>
      <c r="AB36" s="90">
        <f t="shared" si="29"/>
        <v>0.80598454401492003</v>
      </c>
      <c r="AC36" s="91">
        <f t="shared" si="30"/>
        <v>0</v>
      </c>
      <c r="AD36" s="91">
        <f t="shared" si="31"/>
        <v>0</v>
      </c>
      <c r="AE36" s="91">
        <f t="shared" si="32"/>
        <v>11.993817619269642</v>
      </c>
      <c r="AF36" s="91">
        <f t="shared" si="33"/>
        <v>35.981452857808925</v>
      </c>
      <c r="AG36" s="87">
        <f t="shared" si="34"/>
        <v>0</v>
      </c>
      <c r="AH36" s="87">
        <f t="shared" si="35"/>
        <v>1</v>
      </c>
      <c r="AI36" s="92">
        <f t="shared" si="36"/>
        <v>7</v>
      </c>
      <c r="AJ36" s="87">
        <f t="shared" si="37"/>
        <v>84.132000000000005</v>
      </c>
      <c r="AK36" s="87">
        <f t="shared" si="38"/>
        <v>574.38563336875552</v>
      </c>
      <c r="AL36" s="87">
        <f t="shared" si="39"/>
        <v>0</v>
      </c>
      <c r="AM36" s="87">
        <f t="shared" si="40"/>
        <v>8.4132000000000009E-3</v>
      </c>
      <c r="AN36" s="92">
        <f t="shared" si="41"/>
        <v>2.8329097515956102E-2</v>
      </c>
      <c r="AO36" s="87">
        <f t="shared" si="42"/>
        <v>28329.097515956099</v>
      </c>
      <c r="AP36" s="91">
        <f t="shared" si="43"/>
        <v>35.14843767950925</v>
      </c>
      <c r="AQ36" s="93">
        <f t="shared" si="44"/>
        <v>162.93790645887248</v>
      </c>
      <c r="AR36" s="93">
        <f t="shared" si="45"/>
        <v>488.81371937661743</v>
      </c>
      <c r="AS36" s="91">
        <f t="shared" si="46"/>
        <v>2.7669588507701022</v>
      </c>
      <c r="AT36" s="91">
        <f t="shared" si="47"/>
        <v>1.7147312001744415E-2</v>
      </c>
      <c r="AU36" s="91">
        <f t="shared" si="48"/>
        <v>0</v>
      </c>
      <c r="AV36" s="91">
        <f t="shared" si="49"/>
        <v>46.633608380730358</v>
      </c>
      <c r="AW36" s="91">
        <f t="shared" si="50"/>
        <v>22.645973142191075</v>
      </c>
    </row>
    <row r="37" spans="1:49" x14ac:dyDescent="0.4">
      <c r="A37" s="21">
        <v>84</v>
      </c>
      <c r="B37" s="21" t="s">
        <v>94</v>
      </c>
      <c r="C37" s="21">
        <v>38.736944999999999</v>
      </c>
      <c r="D37" s="21">
        <v>619946.19999999995</v>
      </c>
      <c r="E37" s="21">
        <v>6081814.2999999998</v>
      </c>
      <c r="F37" s="21">
        <v>802.8</v>
      </c>
      <c r="G37" s="21">
        <v>14</v>
      </c>
      <c r="H37" s="21">
        <v>0</v>
      </c>
      <c r="I37" s="21">
        <v>17.850000000000001</v>
      </c>
      <c r="J37" s="21">
        <v>0</v>
      </c>
      <c r="K37" s="21">
        <v>100</v>
      </c>
      <c r="L37" s="21">
        <v>3.8</v>
      </c>
      <c r="M37" s="21">
        <v>100</v>
      </c>
      <c r="N37" s="21">
        <v>0</v>
      </c>
      <c r="O37" s="35">
        <v>14</v>
      </c>
      <c r="P37" s="21">
        <v>90</v>
      </c>
      <c r="Q37" s="4">
        <v>781.16</v>
      </c>
      <c r="R37" s="4">
        <v>30.899999619999999</v>
      </c>
      <c r="S37" s="89">
        <f t="shared" si="20"/>
        <v>67.83</v>
      </c>
      <c r="T37" s="90">
        <f t="shared" si="21"/>
        <v>2.9294544238463396</v>
      </c>
      <c r="U37" s="91">
        <f t="shared" si="22"/>
        <v>488.39549515554648</v>
      </c>
      <c r="V37" s="91">
        <f t="shared" si="23"/>
        <v>381515.02499570668</v>
      </c>
      <c r="W37" s="87">
        <f t="shared" si="24"/>
        <v>3815150249.957067</v>
      </c>
      <c r="X37" s="90">
        <f t="shared" si="25"/>
        <v>3.8151502499570671</v>
      </c>
      <c r="Y37" s="87">
        <f t="shared" si="26"/>
        <v>0.5</v>
      </c>
      <c r="Z37" s="87">
        <f t="shared" si="27"/>
        <v>11.74</v>
      </c>
      <c r="AA37" s="87">
        <f t="shared" si="28"/>
        <v>0.33600000000000002</v>
      </c>
      <c r="AB37" s="90">
        <f t="shared" si="29"/>
        <v>0.64981138711230002</v>
      </c>
      <c r="AC37" s="91">
        <f t="shared" si="30"/>
        <v>0</v>
      </c>
      <c r="AD37" s="91">
        <f t="shared" si="31"/>
        <v>0</v>
      </c>
      <c r="AE37" s="91">
        <f t="shared" si="32"/>
        <v>9.6698123082187504</v>
      </c>
      <c r="AF37" s="91">
        <f t="shared" si="33"/>
        <v>29.009436924656249</v>
      </c>
      <c r="AG37" s="87">
        <f t="shared" si="34"/>
        <v>0</v>
      </c>
      <c r="AH37" s="87">
        <f t="shared" si="35"/>
        <v>0</v>
      </c>
      <c r="AI37" s="92">
        <f t="shared" si="36"/>
        <v>14</v>
      </c>
      <c r="AJ37" s="87">
        <f t="shared" si="37"/>
        <v>67.83</v>
      </c>
      <c r="AK37" s="87">
        <f t="shared" si="38"/>
        <v>289.34958461071244</v>
      </c>
      <c r="AL37" s="87">
        <f t="shared" si="39"/>
        <v>0</v>
      </c>
      <c r="AM37" s="87">
        <f t="shared" si="40"/>
        <v>6.783E-3</v>
      </c>
      <c r="AN37" s="92">
        <f t="shared" si="41"/>
        <v>2.5878164145458786E-2</v>
      </c>
      <c r="AO37" s="87">
        <f t="shared" si="42"/>
        <v>25878.164145458788</v>
      </c>
      <c r="AP37" s="91">
        <f t="shared" si="43"/>
        <v>39.824116133850602</v>
      </c>
      <c r="AQ37" s="93">
        <f t="shared" si="44"/>
        <v>133.53221953465757</v>
      </c>
      <c r="AR37" s="93">
        <f t="shared" si="45"/>
        <v>400.59665860397268</v>
      </c>
      <c r="AS37" s="91">
        <f t="shared" si="46"/>
        <v>4.9598229129131903</v>
      </c>
      <c r="AT37" s="91">
        <f t="shared" si="47"/>
        <v>7.6931857811752741E-2</v>
      </c>
      <c r="AU37" s="91">
        <f t="shared" si="48"/>
        <v>0</v>
      </c>
      <c r="AV37" s="91">
        <f t="shared" si="49"/>
        <v>29.067132691781246</v>
      </c>
      <c r="AW37" s="91">
        <f t="shared" si="50"/>
        <v>9.7275080753437493</v>
      </c>
    </row>
    <row r="38" spans="1:49" x14ac:dyDescent="0.4">
      <c r="A38" s="21">
        <v>79</v>
      </c>
      <c r="B38" s="21" t="s">
        <v>94</v>
      </c>
      <c r="C38" s="21">
        <v>81.495073000000005</v>
      </c>
      <c r="D38" s="21">
        <v>619854.4</v>
      </c>
      <c r="E38" s="21">
        <v>6081700.2999999998</v>
      </c>
      <c r="F38" s="21">
        <v>803.6</v>
      </c>
      <c r="G38" s="21">
        <v>23</v>
      </c>
      <c r="H38" s="21">
        <v>0</v>
      </c>
      <c r="I38" s="21">
        <v>7.34</v>
      </c>
      <c r="J38" s="21">
        <v>0</v>
      </c>
      <c r="K38" s="21">
        <v>100</v>
      </c>
      <c r="L38" s="21">
        <v>4.5999999999999996</v>
      </c>
      <c r="M38" s="21">
        <v>100</v>
      </c>
      <c r="N38" s="21">
        <v>0</v>
      </c>
      <c r="O38" s="35">
        <v>30</v>
      </c>
      <c r="P38" s="21">
        <v>90</v>
      </c>
      <c r="Q38" s="4">
        <v>781.16</v>
      </c>
      <c r="R38" s="4">
        <v>30.899999619999999</v>
      </c>
      <c r="S38" s="89">
        <f t="shared" si="20"/>
        <v>33.763999999999996</v>
      </c>
      <c r="T38" s="90">
        <f t="shared" si="21"/>
        <v>3.787561691319218</v>
      </c>
      <c r="U38" s="91">
        <f t="shared" si="22"/>
        <v>561.0685996378246</v>
      </c>
      <c r="V38" s="91">
        <f t="shared" si="23"/>
        <v>438284.34729308303</v>
      </c>
      <c r="W38" s="87">
        <f t="shared" si="24"/>
        <v>4382843472.93083</v>
      </c>
      <c r="X38" s="90">
        <f t="shared" si="25"/>
        <v>4.3828434729308299</v>
      </c>
      <c r="Y38" s="87">
        <f t="shared" si="26"/>
        <v>0.5</v>
      </c>
      <c r="Z38" s="87">
        <f t="shared" si="27"/>
        <v>11.74</v>
      </c>
      <c r="AA38" s="87">
        <f t="shared" si="28"/>
        <v>0.33600000000000002</v>
      </c>
      <c r="AB38" s="90">
        <f t="shared" si="29"/>
        <v>0.32345911358483997</v>
      </c>
      <c r="AC38" s="91">
        <f t="shared" si="30"/>
        <v>0</v>
      </c>
      <c r="AD38" s="91">
        <f t="shared" si="31"/>
        <v>0</v>
      </c>
      <c r="AE38" s="91">
        <f t="shared" si="32"/>
        <v>4.8133796664410706</v>
      </c>
      <c r="AF38" s="91">
        <f t="shared" si="33"/>
        <v>14.440138999323212</v>
      </c>
      <c r="AG38" s="87">
        <f t="shared" si="34"/>
        <v>0</v>
      </c>
      <c r="AH38" s="87">
        <f t="shared" si="35"/>
        <v>0</v>
      </c>
      <c r="AI38" s="92">
        <f t="shared" si="36"/>
        <v>30</v>
      </c>
      <c r="AJ38" s="87">
        <f t="shared" si="37"/>
        <v>33.763999999999996</v>
      </c>
      <c r="AK38" s="87">
        <f t="shared" si="38"/>
        <v>140.00000000000003</v>
      </c>
      <c r="AL38" s="87">
        <f t="shared" si="39"/>
        <v>0</v>
      </c>
      <c r="AM38" s="87">
        <f t="shared" si="40"/>
        <v>3.3763999999999995E-3</v>
      </c>
      <c r="AN38" s="92">
        <f t="shared" si="41"/>
        <v>1.4798232702003651E-2</v>
      </c>
      <c r="AO38" s="87">
        <f t="shared" si="42"/>
        <v>14798.23270200365</v>
      </c>
      <c r="AP38" s="91">
        <f t="shared" si="43"/>
        <v>45.749932775111702</v>
      </c>
      <c r="AQ38" s="93">
        <f t="shared" si="44"/>
        <v>564.36487906258765</v>
      </c>
      <c r="AR38" s="93">
        <f t="shared" si="45"/>
        <v>1693.0946371877631</v>
      </c>
      <c r="AS38" s="91">
        <f t="shared" si="46"/>
        <v>6.867866383635372E-3</v>
      </c>
      <c r="AT38" s="91">
        <f t="shared" si="47"/>
        <v>1.5476921906331253E-10</v>
      </c>
      <c r="AU38" s="91">
        <f t="shared" si="48"/>
        <v>0</v>
      </c>
      <c r="AV38" s="91">
        <f t="shared" si="49"/>
        <v>76.68169333355894</v>
      </c>
      <c r="AW38" s="91">
        <f t="shared" si="50"/>
        <v>67.054934000676795</v>
      </c>
    </row>
    <row r="39" spans="1:49" x14ac:dyDescent="0.4">
      <c r="A39" s="21">
        <v>88</v>
      </c>
      <c r="B39" s="21" t="s">
        <v>94</v>
      </c>
      <c r="C39" s="21">
        <v>10.406696999999999</v>
      </c>
      <c r="D39" s="21">
        <v>619994.5</v>
      </c>
      <c r="E39" s="21">
        <v>6081893.7000000002</v>
      </c>
      <c r="F39" s="21">
        <v>803.8</v>
      </c>
      <c r="G39" s="21">
        <v>6</v>
      </c>
      <c r="H39" s="21">
        <v>0</v>
      </c>
      <c r="I39" s="21">
        <v>44.47</v>
      </c>
      <c r="J39" s="21">
        <v>0</v>
      </c>
      <c r="K39" s="21">
        <v>100</v>
      </c>
      <c r="L39" s="21">
        <v>3.8</v>
      </c>
      <c r="M39" s="21">
        <v>100</v>
      </c>
      <c r="N39" s="21">
        <v>1</v>
      </c>
      <c r="O39" s="35">
        <v>5</v>
      </c>
      <c r="P39" s="21">
        <v>90</v>
      </c>
      <c r="Q39" s="4">
        <v>781.16</v>
      </c>
      <c r="R39" s="4">
        <v>30.899999619999999</v>
      </c>
      <c r="S39" s="89">
        <f t="shared" si="20"/>
        <v>168.98599999999999</v>
      </c>
      <c r="T39" s="90">
        <f t="shared" si="21"/>
        <v>2.0274507831327977</v>
      </c>
      <c r="U39" s="91">
        <f t="shared" si="22"/>
        <v>412.00480682351662</v>
      </c>
      <c r="V39" s="91">
        <f t="shared" si="23"/>
        <v>321841.67489825824</v>
      </c>
      <c r="W39" s="87">
        <f t="shared" si="24"/>
        <v>3218416748.9825826</v>
      </c>
      <c r="X39" s="90">
        <f t="shared" si="25"/>
        <v>3.2184167489825826</v>
      </c>
      <c r="Y39" s="87">
        <f t="shared" si="26"/>
        <v>0.5</v>
      </c>
      <c r="Z39" s="87">
        <f t="shared" si="27"/>
        <v>11.74</v>
      </c>
      <c r="AA39" s="87">
        <f t="shared" si="28"/>
        <v>0.33600000000000002</v>
      </c>
      <c r="AB39" s="90">
        <f t="shared" si="29"/>
        <v>1.61888584789266</v>
      </c>
      <c r="AC39" s="91">
        <f t="shared" si="30"/>
        <v>0.91955580949265991</v>
      </c>
      <c r="AD39" s="91">
        <f t="shared" si="31"/>
        <v>1.3857758350926601</v>
      </c>
      <c r="AE39" s="91">
        <f t="shared" si="32"/>
        <v>24.090563212688394</v>
      </c>
      <c r="AF39" s="91">
        <f t="shared" si="33"/>
        <v>72.271689638065183</v>
      </c>
      <c r="AG39" s="87">
        <f t="shared" si="34"/>
        <v>0</v>
      </c>
      <c r="AH39" s="87">
        <f t="shared" si="35"/>
        <v>1</v>
      </c>
      <c r="AI39" s="92">
        <f t="shared" si="36"/>
        <v>5</v>
      </c>
      <c r="AJ39" s="87">
        <f t="shared" si="37"/>
        <v>168.98599999999999</v>
      </c>
      <c r="AK39" s="87">
        <f t="shared" si="38"/>
        <v>803.15992719688995</v>
      </c>
      <c r="AL39" s="87">
        <f t="shared" si="39"/>
        <v>1.3857758350926601</v>
      </c>
      <c r="AM39" s="87">
        <f t="shared" si="40"/>
        <v>1.68986E-2</v>
      </c>
      <c r="AN39" s="92">
        <f t="shared" si="41"/>
        <v>5.4386737274357069E-2</v>
      </c>
      <c r="AO39" s="87">
        <f t="shared" si="42"/>
        <v>54386.737274357067</v>
      </c>
      <c r="AP39" s="91">
        <f t="shared" si="43"/>
        <v>33.595165060682632</v>
      </c>
      <c r="AQ39" s="93">
        <f t="shared" si="44"/>
        <v>14.399410131569468</v>
      </c>
      <c r="AR39" s="93">
        <f t="shared" si="45"/>
        <v>43.198230394708403</v>
      </c>
      <c r="AS39" s="91">
        <f t="shared" si="46"/>
        <v>26.836190317786151</v>
      </c>
      <c r="AT39" s="91">
        <f t="shared" si="47"/>
        <v>17.124150300941764</v>
      </c>
      <c r="AU39" s="91">
        <f t="shared" si="48"/>
        <v>37.188944048335664</v>
      </c>
      <c r="AV39" s="91">
        <f t="shared" si="49"/>
        <v>0</v>
      </c>
      <c r="AW39" s="91">
        <f t="shared" si="50"/>
        <v>0</v>
      </c>
    </row>
    <row r="40" spans="1:49" x14ac:dyDescent="0.4">
      <c r="A40" s="21">
        <v>103</v>
      </c>
      <c r="B40" s="21" t="s">
        <v>94</v>
      </c>
      <c r="C40" s="21">
        <v>77.504437999999993</v>
      </c>
      <c r="D40" s="21">
        <v>620275</v>
      </c>
      <c r="E40" s="21">
        <v>6082249.5999999996</v>
      </c>
      <c r="F40" s="21">
        <v>804.2</v>
      </c>
      <c r="G40" s="21">
        <v>14</v>
      </c>
      <c r="H40" s="21">
        <v>0</v>
      </c>
      <c r="I40" s="21">
        <v>22.57</v>
      </c>
      <c r="J40" s="21">
        <v>0</v>
      </c>
      <c r="K40" s="21">
        <v>100</v>
      </c>
      <c r="L40" s="21">
        <v>4.4000000000000004</v>
      </c>
      <c r="M40" s="21">
        <v>100</v>
      </c>
      <c r="N40" s="21">
        <v>1</v>
      </c>
      <c r="O40" s="35">
        <v>7</v>
      </c>
      <c r="P40" s="21">
        <v>90</v>
      </c>
      <c r="Q40" s="4">
        <v>781.16</v>
      </c>
      <c r="R40" s="4">
        <v>30.899999619999999</v>
      </c>
      <c r="S40" s="89">
        <f t="shared" si="20"/>
        <v>99.308000000000007</v>
      </c>
      <c r="T40" s="90">
        <f t="shared" si="21"/>
        <v>2.9294544238463396</v>
      </c>
      <c r="U40" s="91">
        <f t="shared" si="22"/>
        <v>488.39549515554648</v>
      </c>
      <c r="V40" s="91">
        <f t="shared" si="23"/>
        <v>381515.02499570668</v>
      </c>
      <c r="W40" s="87">
        <f t="shared" si="24"/>
        <v>3815150249.957067</v>
      </c>
      <c r="X40" s="90">
        <f t="shared" si="25"/>
        <v>3.8151502499570671</v>
      </c>
      <c r="Y40" s="87">
        <f t="shared" si="26"/>
        <v>0.5</v>
      </c>
      <c r="Z40" s="87">
        <f t="shared" si="27"/>
        <v>11.74</v>
      </c>
      <c r="AA40" s="87">
        <f t="shared" si="28"/>
        <v>0.33600000000000002</v>
      </c>
      <c r="AB40" s="90">
        <f t="shared" si="29"/>
        <v>0.95137062113148008</v>
      </c>
      <c r="AC40" s="91">
        <f t="shared" si="30"/>
        <v>0</v>
      </c>
      <c r="AD40" s="91">
        <f t="shared" si="31"/>
        <v>0</v>
      </c>
      <c r="AE40" s="91">
        <f t="shared" si="32"/>
        <v>14.157300909694644</v>
      </c>
      <c r="AF40" s="91">
        <f t="shared" si="33"/>
        <v>42.471902729083936</v>
      </c>
      <c r="AG40" s="87">
        <f t="shared" si="34"/>
        <v>0</v>
      </c>
      <c r="AH40" s="87">
        <f t="shared" si="35"/>
        <v>1</v>
      </c>
      <c r="AI40" s="92">
        <f t="shared" si="36"/>
        <v>7</v>
      </c>
      <c r="AJ40" s="87">
        <f t="shared" si="37"/>
        <v>99.308000000000007</v>
      </c>
      <c r="AK40" s="87">
        <f t="shared" si="38"/>
        <v>574.38563336875552</v>
      </c>
      <c r="AL40" s="87">
        <f t="shared" si="39"/>
        <v>0</v>
      </c>
      <c r="AM40" s="87">
        <f t="shared" si="40"/>
        <v>9.9308E-3</v>
      </c>
      <c r="AN40" s="92">
        <f t="shared" si="41"/>
        <v>3.7887494102273642E-2</v>
      </c>
      <c r="AO40" s="87">
        <f t="shared" si="42"/>
        <v>37887.494102273646</v>
      </c>
      <c r="AP40" s="91">
        <f t="shared" si="43"/>
        <v>39.824116133850602</v>
      </c>
      <c r="AQ40" s="93">
        <f t="shared" si="44"/>
        <v>182.48402595565011</v>
      </c>
      <c r="AR40" s="93">
        <f t="shared" si="45"/>
        <v>547.45207786695028</v>
      </c>
      <c r="AS40" s="91">
        <f t="shared" si="46"/>
        <v>2.3110959676496248</v>
      </c>
      <c r="AT40" s="91">
        <f t="shared" si="47"/>
        <v>7.7832619652366125E-3</v>
      </c>
      <c r="AU40" s="91">
        <f t="shared" si="48"/>
        <v>0</v>
      </c>
      <c r="AV40" s="91">
        <f t="shared" si="49"/>
        <v>63.347137090305353</v>
      </c>
      <c r="AW40" s="91">
        <f t="shared" si="50"/>
        <v>35.032535270916057</v>
      </c>
    </row>
    <row r="41" spans="1:49" x14ac:dyDescent="0.4">
      <c r="A41" s="21">
        <v>80</v>
      </c>
      <c r="B41" s="21" t="s">
        <v>94</v>
      </c>
      <c r="C41" s="21">
        <v>106.590699</v>
      </c>
      <c r="D41" s="21">
        <v>619857.4</v>
      </c>
      <c r="E41" s="21">
        <v>6081707</v>
      </c>
      <c r="F41" s="21">
        <v>806.2</v>
      </c>
      <c r="G41" s="21">
        <v>16</v>
      </c>
      <c r="H41" s="21">
        <v>0</v>
      </c>
      <c r="I41" s="21">
        <v>38.5</v>
      </c>
      <c r="J41" s="21">
        <v>0</v>
      </c>
      <c r="K41" s="21">
        <v>100</v>
      </c>
      <c r="L41" s="21">
        <v>3.8</v>
      </c>
      <c r="M41" s="21">
        <v>100</v>
      </c>
      <c r="N41" s="21">
        <v>1</v>
      </c>
      <c r="O41" s="35">
        <v>11</v>
      </c>
      <c r="P41" s="21">
        <v>90</v>
      </c>
      <c r="Q41" s="4">
        <v>781.16</v>
      </c>
      <c r="R41" s="4">
        <v>30.899999619999999</v>
      </c>
      <c r="S41" s="89">
        <f t="shared" si="20"/>
        <v>146.29999999999998</v>
      </c>
      <c r="T41" s="90">
        <f t="shared" si="21"/>
        <v>3.1430387596364455</v>
      </c>
      <c r="U41" s="91">
        <f t="shared" si="22"/>
        <v>506.48395255361049</v>
      </c>
      <c r="V41" s="91">
        <f t="shared" si="23"/>
        <v>395645.00437677838</v>
      </c>
      <c r="W41" s="87">
        <f t="shared" si="24"/>
        <v>3956450043.7677836</v>
      </c>
      <c r="X41" s="90">
        <f t="shared" si="25"/>
        <v>3.9564500437677834</v>
      </c>
      <c r="Y41" s="87">
        <f t="shared" si="26"/>
        <v>0.5</v>
      </c>
      <c r="Z41" s="87">
        <f t="shared" si="27"/>
        <v>11.74</v>
      </c>
      <c r="AA41" s="87">
        <f t="shared" si="28"/>
        <v>0.33600000000000002</v>
      </c>
      <c r="AB41" s="90">
        <f t="shared" si="29"/>
        <v>1.4015539722029999</v>
      </c>
      <c r="AC41" s="91">
        <f t="shared" si="30"/>
        <v>0</v>
      </c>
      <c r="AD41" s="91">
        <f t="shared" si="31"/>
        <v>0</v>
      </c>
      <c r="AE41" s="91">
        <f t="shared" si="32"/>
        <v>20.856457919687497</v>
      </c>
      <c r="AF41" s="91">
        <f t="shared" si="33"/>
        <v>62.569373759062486</v>
      </c>
      <c r="AG41" s="87">
        <f t="shared" si="34"/>
        <v>0</v>
      </c>
      <c r="AH41" s="87">
        <f t="shared" si="35"/>
        <v>1</v>
      </c>
      <c r="AI41" s="92">
        <f t="shared" si="36"/>
        <v>11</v>
      </c>
      <c r="AJ41" s="87">
        <f t="shared" si="37"/>
        <v>146.29999999999998</v>
      </c>
      <c r="AK41" s="87">
        <f t="shared" si="38"/>
        <v>366.85901449174941</v>
      </c>
      <c r="AL41" s="87">
        <f t="shared" si="39"/>
        <v>0</v>
      </c>
      <c r="AM41" s="87">
        <f t="shared" si="40"/>
        <v>1.4629999999999999E-2</v>
      </c>
      <c r="AN41" s="92">
        <f t="shared" si="41"/>
        <v>5.7882864140322669E-2</v>
      </c>
      <c r="AO41" s="87">
        <f t="shared" si="42"/>
        <v>57882.864140322665</v>
      </c>
      <c r="AP41" s="91">
        <f t="shared" si="43"/>
        <v>41.299061818747397</v>
      </c>
      <c r="AQ41" s="93">
        <f t="shared" si="44"/>
        <v>170.35602659290083</v>
      </c>
      <c r="AR41" s="93">
        <f t="shared" si="45"/>
        <v>511.06807977870244</v>
      </c>
      <c r="AS41" s="91">
        <f t="shared" si="46"/>
        <v>2.8958705345587794</v>
      </c>
      <c r="AT41" s="91">
        <f t="shared" si="47"/>
        <v>1.4238264419323002E-2</v>
      </c>
      <c r="AU41" s="91">
        <f t="shared" si="48"/>
        <v>0</v>
      </c>
      <c r="AV41" s="91">
        <f t="shared" si="49"/>
        <v>85.734241080312501</v>
      </c>
      <c r="AW41" s="91">
        <f t="shared" si="50"/>
        <v>44.021325240937514</v>
      </c>
    </row>
    <row r="42" spans="1:49" x14ac:dyDescent="0.4">
      <c r="A42" s="21">
        <v>85</v>
      </c>
      <c r="B42" s="21" t="s">
        <v>94</v>
      </c>
      <c r="C42" s="21">
        <v>47.911650000000002</v>
      </c>
      <c r="D42" s="21">
        <v>619939.9</v>
      </c>
      <c r="E42" s="21">
        <v>6081831</v>
      </c>
      <c r="F42" s="21">
        <v>806.7</v>
      </c>
      <c r="G42" s="21">
        <v>10</v>
      </c>
      <c r="H42" s="21">
        <v>0</v>
      </c>
      <c r="I42" s="21">
        <v>20.93</v>
      </c>
      <c r="J42" s="21">
        <v>0</v>
      </c>
      <c r="K42" s="21">
        <v>100</v>
      </c>
      <c r="L42" s="21">
        <v>4.8</v>
      </c>
      <c r="M42" s="21">
        <v>100</v>
      </c>
      <c r="N42" s="21">
        <v>0</v>
      </c>
      <c r="O42" s="35">
        <v>3</v>
      </c>
      <c r="P42" s="21">
        <v>90</v>
      </c>
      <c r="Q42" s="4">
        <v>781.16</v>
      </c>
      <c r="R42" s="4">
        <v>30.899999619999999</v>
      </c>
      <c r="S42" s="89">
        <f t="shared" si="20"/>
        <v>100.464</v>
      </c>
      <c r="T42" s="90">
        <f t="shared" si="21"/>
        <v>2.4803708090655769</v>
      </c>
      <c r="U42" s="91">
        <f t="shared" si="22"/>
        <v>450.36260381976365</v>
      </c>
      <c r="V42" s="91">
        <f t="shared" si="23"/>
        <v>351805.25159984658</v>
      </c>
      <c r="W42" s="87">
        <f t="shared" si="24"/>
        <v>3518052515.998466</v>
      </c>
      <c r="X42" s="90">
        <f t="shared" si="25"/>
        <v>3.5180525159984661</v>
      </c>
      <c r="Y42" s="87">
        <f t="shared" si="26"/>
        <v>0.5</v>
      </c>
      <c r="Z42" s="87">
        <f t="shared" si="27"/>
        <v>11.74</v>
      </c>
      <c r="AA42" s="87">
        <f t="shared" si="28"/>
        <v>0.33600000000000002</v>
      </c>
      <c r="AB42" s="90">
        <f t="shared" si="29"/>
        <v>0.96244510091183999</v>
      </c>
      <c r="AC42" s="91">
        <f t="shared" si="30"/>
        <v>0</v>
      </c>
      <c r="AD42" s="91">
        <f t="shared" si="31"/>
        <v>0</v>
      </c>
      <c r="AE42" s="91">
        <f t="shared" si="32"/>
        <v>14.322099715949998</v>
      </c>
      <c r="AF42" s="91">
        <f t="shared" si="33"/>
        <v>42.966299147849995</v>
      </c>
      <c r="AG42" s="87">
        <f t="shared" si="34"/>
        <v>0</v>
      </c>
      <c r="AH42" s="87">
        <f t="shared" si="35"/>
        <v>0</v>
      </c>
      <c r="AI42" s="92">
        <f t="shared" si="36"/>
        <v>3</v>
      </c>
      <c r="AJ42" s="87">
        <f t="shared" si="37"/>
        <v>100.464</v>
      </c>
      <c r="AK42" s="87">
        <f t="shared" si="38"/>
        <v>1337.5125826508179</v>
      </c>
      <c r="AL42" s="87">
        <f t="shared" si="39"/>
        <v>0</v>
      </c>
      <c r="AM42" s="87">
        <f t="shared" si="40"/>
        <v>1.00464E-2</v>
      </c>
      <c r="AN42" s="92">
        <f t="shared" si="41"/>
        <v>3.5343762796726991E-2</v>
      </c>
      <c r="AO42" s="87">
        <f t="shared" si="42"/>
        <v>35343.762796726995</v>
      </c>
      <c r="AP42" s="91">
        <f t="shared" si="43"/>
        <v>36.722887116617457</v>
      </c>
      <c r="AQ42" s="93">
        <f t="shared" si="44"/>
        <v>111.50983666322463</v>
      </c>
      <c r="AR42" s="93">
        <f t="shared" si="45"/>
        <v>334.5295099896739</v>
      </c>
      <c r="AS42" s="91">
        <f t="shared" si="46"/>
        <v>6.448494778478155</v>
      </c>
      <c r="AT42" s="91">
        <f t="shared" si="47"/>
        <v>0.19883893218403911</v>
      </c>
      <c r="AU42" s="91">
        <f t="shared" si="48"/>
        <v>0</v>
      </c>
      <c r="AV42" s="91">
        <f t="shared" si="49"/>
        <v>33.589550284050006</v>
      </c>
      <c r="AW42" s="91">
        <f t="shared" si="50"/>
        <v>4.9453508521500069</v>
      </c>
    </row>
    <row r="43" spans="1:49" x14ac:dyDescent="0.4">
      <c r="A43" s="21">
        <v>102</v>
      </c>
      <c r="B43" s="21" t="s">
        <v>94</v>
      </c>
      <c r="C43" s="21">
        <v>22.501885000000001</v>
      </c>
      <c r="D43" s="21">
        <v>620263.80000000005</v>
      </c>
      <c r="E43" s="21">
        <v>6082230</v>
      </c>
      <c r="F43" s="21">
        <v>806.9</v>
      </c>
      <c r="G43" s="21">
        <v>8</v>
      </c>
      <c r="H43" s="21">
        <v>0</v>
      </c>
      <c r="I43" s="21">
        <v>63.7</v>
      </c>
      <c r="J43" s="21">
        <v>0</v>
      </c>
      <c r="K43" s="21">
        <v>100</v>
      </c>
      <c r="L43" s="21">
        <v>4</v>
      </c>
      <c r="M43" s="21">
        <v>100</v>
      </c>
      <c r="N43" s="21">
        <v>0</v>
      </c>
      <c r="O43" s="35">
        <v>7</v>
      </c>
      <c r="P43" s="21">
        <v>90</v>
      </c>
      <c r="Q43" s="4">
        <v>781.16</v>
      </c>
      <c r="R43" s="4">
        <v>30.899999619999999</v>
      </c>
      <c r="S43" s="89">
        <f t="shared" si="20"/>
        <v>254.8</v>
      </c>
      <c r="T43" s="90">
        <f t="shared" si="21"/>
        <v>2.2523775068692409</v>
      </c>
      <c r="U43" s="91">
        <f t="shared" si="22"/>
        <v>431.053851056756</v>
      </c>
      <c r="V43" s="91">
        <f t="shared" si="23"/>
        <v>336722.02629149548</v>
      </c>
      <c r="W43" s="87">
        <f t="shared" si="24"/>
        <v>3367220262.9149547</v>
      </c>
      <c r="X43" s="90">
        <f t="shared" si="25"/>
        <v>3.3672202629149548</v>
      </c>
      <c r="Y43" s="87">
        <f t="shared" si="26"/>
        <v>0.5</v>
      </c>
      <c r="Z43" s="87">
        <f t="shared" si="27"/>
        <v>11.74</v>
      </c>
      <c r="AA43" s="87">
        <f t="shared" si="28"/>
        <v>0.33600000000000002</v>
      </c>
      <c r="AB43" s="90">
        <f t="shared" si="29"/>
        <v>2.4409839515880005</v>
      </c>
      <c r="AC43" s="91">
        <f t="shared" si="30"/>
        <v>0.92885727958800035</v>
      </c>
      <c r="AD43" s="91">
        <f t="shared" si="31"/>
        <v>1.9369417275880005</v>
      </c>
      <c r="AE43" s="91">
        <f t="shared" si="32"/>
        <v>36.324165946250005</v>
      </c>
      <c r="AF43" s="91">
        <f t="shared" si="33"/>
        <v>108.97249783875002</v>
      </c>
      <c r="AG43" s="87">
        <f t="shared" si="34"/>
        <v>0</v>
      </c>
      <c r="AH43" s="87">
        <f t="shared" si="35"/>
        <v>0</v>
      </c>
      <c r="AI43" s="92">
        <f t="shared" si="36"/>
        <v>7</v>
      </c>
      <c r="AJ43" s="87">
        <f t="shared" si="37"/>
        <v>254.8</v>
      </c>
      <c r="AK43" s="87">
        <f t="shared" si="38"/>
        <v>574.38563336875552</v>
      </c>
      <c r="AL43" s="87">
        <f t="shared" si="39"/>
        <v>0.92885727958800035</v>
      </c>
      <c r="AM43" s="87">
        <f t="shared" si="40"/>
        <v>2.5480000000000003E-2</v>
      </c>
      <c r="AN43" s="92">
        <f t="shared" si="41"/>
        <v>8.5796772299073051E-2</v>
      </c>
      <c r="AO43" s="87">
        <f t="shared" si="42"/>
        <v>85796.772299073054</v>
      </c>
      <c r="AP43" s="91">
        <f t="shared" si="43"/>
        <v>35.14843767950925</v>
      </c>
      <c r="AQ43" s="93">
        <f t="shared" si="44"/>
        <v>20.649141247819003</v>
      </c>
      <c r="AR43" s="93">
        <f t="shared" si="45"/>
        <v>61.947423743457009</v>
      </c>
      <c r="AS43" s="91">
        <f t="shared" si="46"/>
        <v>25.468784538745886</v>
      </c>
      <c r="AT43" s="91">
        <f t="shared" si="47"/>
        <v>13.372500002775242</v>
      </c>
      <c r="AU43" s="91">
        <f t="shared" si="48"/>
        <v>12.421143973868338</v>
      </c>
      <c r="AV43" s="91">
        <f t="shared" si="49"/>
        <v>0</v>
      </c>
      <c r="AW43" s="91">
        <f t="shared" si="50"/>
        <v>0</v>
      </c>
    </row>
    <row r="44" spans="1:49" x14ac:dyDescent="0.4">
      <c r="A44" s="21">
        <v>86</v>
      </c>
      <c r="B44" s="21" t="s">
        <v>94</v>
      </c>
      <c r="C44" s="21">
        <v>4.0108709999999999</v>
      </c>
      <c r="D44" s="21">
        <v>619934.4</v>
      </c>
      <c r="E44" s="21">
        <v>6081851.2000000002</v>
      </c>
      <c r="F44" s="21">
        <v>809.3</v>
      </c>
      <c r="G44" s="21">
        <v>9</v>
      </c>
      <c r="H44" s="21">
        <v>0</v>
      </c>
      <c r="I44" s="21">
        <v>10.54</v>
      </c>
      <c r="J44" s="21">
        <v>0</v>
      </c>
      <c r="K44" s="21">
        <v>100</v>
      </c>
      <c r="L44" s="21">
        <v>3.1</v>
      </c>
      <c r="M44" s="21">
        <v>100</v>
      </c>
      <c r="N44" s="21">
        <v>0</v>
      </c>
      <c r="O44" s="35">
        <v>9</v>
      </c>
      <c r="P44" s="21">
        <v>90</v>
      </c>
      <c r="Q44" s="4">
        <v>781.16</v>
      </c>
      <c r="R44" s="4">
        <v>30.899999619999999</v>
      </c>
      <c r="S44" s="89">
        <f t="shared" si="20"/>
        <v>32.673999999999999</v>
      </c>
      <c r="T44" s="90">
        <f t="shared" si="21"/>
        <v>2.3662432634748507</v>
      </c>
      <c r="U44" s="91">
        <f t="shared" si="22"/>
        <v>440.69714198368507</v>
      </c>
      <c r="V44" s="91">
        <f t="shared" si="23"/>
        <v>344254.9794319754</v>
      </c>
      <c r="W44" s="87">
        <f t="shared" si="24"/>
        <v>3442549794.3197541</v>
      </c>
      <c r="X44" s="90">
        <f t="shared" si="25"/>
        <v>3.4425497943197541</v>
      </c>
      <c r="Y44" s="87">
        <f t="shared" si="26"/>
        <v>0.5</v>
      </c>
      <c r="Z44" s="87">
        <f t="shared" si="27"/>
        <v>11.74</v>
      </c>
      <c r="AA44" s="87">
        <f t="shared" si="28"/>
        <v>0.33600000000000002</v>
      </c>
      <c r="AB44" s="90">
        <f t="shared" si="29"/>
        <v>0.31301691379194002</v>
      </c>
      <c r="AC44" s="91">
        <f t="shared" si="30"/>
        <v>4.3486382591940043E-2</v>
      </c>
      <c r="AD44" s="91">
        <f t="shared" si="31"/>
        <v>0.22317340339194</v>
      </c>
      <c r="AE44" s="91">
        <f t="shared" si="32"/>
        <v>4.6579897885705357</v>
      </c>
      <c r="AF44" s="91">
        <f t="shared" si="33"/>
        <v>13.973969365711607</v>
      </c>
      <c r="AG44" s="87">
        <f t="shared" si="34"/>
        <v>0</v>
      </c>
      <c r="AH44" s="87">
        <f t="shared" si="35"/>
        <v>0</v>
      </c>
      <c r="AI44" s="92">
        <f t="shared" si="36"/>
        <v>9</v>
      </c>
      <c r="AJ44" s="87">
        <f t="shared" si="37"/>
        <v>32.673999999999999</v>
      </c>
      <c r="AK44" s="87">
        <f t="shared" si="38"/>
        <v>447.47172550497629</v>
      </c>
      <c r="AL44" s="87">
        <f t="shared" si="39"/>
        <v>4.3486382591940043E-2</v>
      </c>
      <c r="AM44" s="87">
        <f t="shared" si="40"/>
        <v>3.2674000000000002E-3</v>
      </c>
      <c r="AN44" s="92">
        <f t="shared" si="41"/>
        <v>1.1248187197960365E-2</v>
      </c>
      <c r="AO44" s="87">
        <f t="shared" si="42"/>
        <v>11248.187197960364</v>
      </c>
      <c r="AP44" s="91">
        <f t="shared" si="43"/>
        <v>35.934758482210803</v>
      </c>
      <c r="AQ44" s="93">
        <f t="shared" si="44"/>
        <v>28.702445919493762</v>
      </c>
      <c r="AR44" s="93">
        <f t="shared" si="45"/>
        <v>86.107337758481293</v>
      </c>
      <c r="AS44" s="91">
        <f t="shared" si="46"/>
        <v>22.964438646115951</v>
      </c>
      <c r="AT44" s="91">
        <f t="shared" si="47"/>
        <v>9.3786005885598716</v>
      </c>
      <c r="AU44" s="91">
        <f t="shared" si="48"/>
        <v>0.40784141337110863</v>
      </c>
      <c r="AV44" s="91">
        <f t="shared" si="49"/>
        <v>0</v>
      </c>
      <c r="AW44" s="91">
        <f t="shared" si="50"/>
        <v>0</v>
      </c>
    </row>
    <row r="45" spans="1:49" x14ac:dyDescent="0.4">
      <c r="A45" s="21">
        <v>89</v>
      </c>
      <c r="B45" s="21" t="s">
        <v>94</v>
      </c>
      <c r="C45" s="21">
        <v>29.374561</v>
      </c>
      <c r="D45" s="21">
        <v>619982.80000000005</v>
      </c>
      <c r="E45" s="21">
        <v>6081936.5999999996</v>
      </c>
      <c r="F45" s="21">
        <v>811.3</v>
      </c>
      <c r="G45" s="21">
        <v>13</v>
      </c>
      <c r="H45" s="21">
        <v>0</v>
      </c>
      <c r="I45" s="21">
        <v>33.9</v>
      </c>
      <c r="J45" s="21">
        <v>0</v>
      </c>
      <c r="K45" s="21">
        <v>100</v>
      </c>
      <c r="L45" s="21">
        <v>3.1</v>
      </c>
      <c r="M45" s="21">
        <v>100</v>
      </c>
      <c r="N45" s="21">
        <v>1</v>
      </c>
      <c r="O45" s="35">
        <v>17</v>
      </c>
      <c r="P45" s="21">
        <v>90</v>
      </c>
      <c r="Q45" s="4">
        <v>781.16</v>
      </c>
      <c r="R45" s="4">
        <v>30.899999619999999</v>
      </c>
      <c r="S45" s="89">
        <f t="shared" si="20"/>
        <v>105.09</v>
      </c>
      <c r="T45" s="90">
        <f t="shared" si="21"/>
        <v>2.8192668236646963</v>
      </c>
      <c r="U45" s="91">
        <f t="shared" si="22"/>
        <v>479.0637072961631</v>
      </c>
      <c r="V45" s="91">
        <f t="shared" si="23"/>
        <v>374225.40559147077</v>
      </c>
      <c r="W45" s="87">
        <f t="shared" si="24"/>
        <v>3742254055.9147077</v>
      </c>
      <c r="X45" s="90">
        <f t="shared" si="25"/>
        <v>3.7422540559147075</v>
      </c>
      <c r="Y45" s="87">
        <f t="shared" si="26"/>
        <v>0.5</v>
      </c>
      <c r="Z45" s="87">
        <f t="shared" si="27"/>
        <v>11.74</v>
      </c>
      <c r="AA45" s="87">
        <f t="shared" si="28"/>
        <v>0.33600000000000002</v>
      </c>
      <c r="AB45" s="90">
        <f t="shared" si="29"/>
        <v>1.0067621800329001</v>
      </c>
      <c r="AC45" s="91">
        <f t="shared" si="30"/>
        <v>0</v>
      </c>
      <c r="AD45" s="91">
        <f t="shared" si="31"/>
        <v>0.34877201363290006</v>
      </c>
      <c r="AE45" s="91">
        <f t="shared" si="32"/>
        <v>14.981580060013393</v>
      </c>
      <c r="AF45" s="91">
        <f t="shared" si="33"/>
        <v>44.944740180040178</v>
      </c>
      <c r="AG45" s="87">
        <f t="shared" si="34"/>
        <v>0</v>
      </c>
      <c r="AH45" s="87">
        <f t="shared" si="35"/>
        <v>1</v>
      </c>
      <c r="AI45" s="92">
        <f t="shared" si="36"/>
        <v>17</v>
      </c>
      <c r="AJ45" s="87">
        <f t="shared" si="37"/>
        <v>105.09</v>
      </c>
      <c r="AK45" s="87">
        <f t="shared" si="38"/>
        <v>239.42125338832878</v>
      </c>
      <c r="AL45" s="87">
        <f t="shared" si="39"/>
        <v>0.34877201363290006</v>
      </c>
      <c r="AM45" s="87">
        <f t="shared" si="40"/>
        <v>1.0509000000000001E-2</v>
      </c>
      <c r="AN45" s="92">
        <f t="shared" si="41"/>
        <v>3.9327347873607664E-2</v>
      </c>
      <c r="AO45" s="87">
        <f t="shared" si="42"/>
        <v>39327.347873607665</v>
      </c>
      <c r="AP45" s="91">
        <f t="shared" si="43"/>
        <v>39.063195512889131</v>
      </c>
      <c r="AQ45" s="93">
        <f t="shared" si="44"/>
        <v>65.357060430944827</v>
      </c>
      <c r="AR45" s="93">
        <f t="shared" si="45"/>
        <v>196.07118129283447</v>
      </c>
      <c r="AS45" s="91">
        <f t="shared" si="46"/>
        <v>14.09204691609939</v>
      </c>
      <c r="AT45" s="91">
        <f t="shared" si="47"/>
        <v>1.8339466872487697</v>
      </c>
      <c r="AU45" s="91">
        <f t="shared" si="48"/>
        <v>4.9149115791372839</v>
      </c>
      <c r="AV45" s="91">
        <f t="shared" si="49"/>
        <v>14.392980939986607</v>
      </c>
      <c r="AW45" s="91">
        <f t="shared" si="50"/>
        <v>0</v>
      </c>
    </row>
    <row r="46" spans="1:49" x14ac:dyDescent="0.4">
      <c r="A46" s="21">
        <v>81</v>
      </c>
      <c r="B46" s="21" t="s">
        <v>94</v>
      </c>
      <c r="C46" s="21">
        <v>97.897906000000006</v>
      </c>
      <c r="D46" s="21">
        <v>619869.5</v>
      </c>
      <c r="E46" s="21">
        <v>6081743.5999999996</v>
      </c>
      <c r="F46" s="21">
        <v>814.4</v>
      </c>
      <c r="G46" s="21">
        <v>17</v>
      </c>
      <c r="H46" s="21">
        <v>0</v>
      </c>
      <c r="I46" s="21">
        <v>9.2100000000000009</v>
      </c>
      <c r="J46" s="21">
        <v>0</v>
      </c>
      <c r="K46" s="21">
        <v>100</v>
      </c>
      <c r="L46" s="21">
        <v>4.9000000000000004</v>
      </c>
      <c r="M46" s="21">
        <v>100</v>
      </c>
      <c r="N46" s="21">
        <v>0</v>
      </c>
      <c r="O46" s="35">
        <v>17</v>
      </c>
      <c r="P46" s="21">
        <v>90</v>
      </c>
      <c r="Q46" s="4">
        <v>781.16</v>
      </c>
      <c r="R46" s="4">
        <v>30.899999619999999</v>
      </c>
      <c r="S46" s="89">
        <f t="shared" si="20"/>
        <v>45.129000000000005</v>
      </c>
      <c r="T46" s="90">
        <f t="shared" si="21"/>
        <v>3.2456920022533735</v>
      </c>
      <c r="U46" s="91">
        <f t="shared" si="22"/>
        <v>515.17765567083813</v>
      </c>
      <c r="V46" s="91">
        <f t="shared" si="23"/>
        <v>402436.17750383192</v>
      </c>
      <c r="W46" s="87">
        <f t="shared" si="24"/>
        <v>4024361775.0383191</v>
      </c>
      <c r="X46" s="90">
        <f t="shared" si="25"/>
        <v>4.0243617750383187</v>
      </c>
      <c r="Y46" s="87">
        <f t="shared" si="26"/>
        <v>0.5</v>
      </c>
      <c r="Z46" s="87">
        <f t="shared" si="27"/>
        <v>11.74</v>
      </c>
      <c r="AA46" s="87">
        <f t="shared" si="28"/>
        <v>0.33600000000000002</v>
      </c>
      <c r="AB46" s="90">
        <f t="shared" si="29"/>
        <v>0.4323358114254901</v>
      </c>
      <c r="AC46" s="91">
        <f t="shared" si="30"/>
        <v>0</v>
      </c>
      <c r="AD46" s="91">
        <f t="shared" si="31"/>
        <v>0</v>
      </c>
      <c r="AE46" s="91">
        <f t="shared" si="32"/>
        <v>6.4335686224031265</v>
      </c>
      <c r="AF46" s="91">
        <f t="shared" si="33"/>
        <v>19.300705867209381</v>
      </c>
      <c r="AG46" s="87">
        <f t="shared" si="34"/>
        <v>0</v>
      </c>
      <c r="AH46" s="87">
        <f t="shared" si="35"/>
        <v>0</v>
      </c>
      <c r="AI46" s="92">
        <f t="shared" si="36"/>
        <v>17</v>
      </c>
      <c r="AJ46" s="87">
        <f t="shared" si="37"/>
        <v>45.129000000000005</v>
      </c>
      <c r="AK46" s="87">
        <f t="shared" si="38"/>
        <v>239.42125338832878</v>
      </c>
      <c r="AL46" s="87">
        <f t="shared" si="39"/>
        <v>0</v>
      </c>
      <c r="AM46" s="87">
        <f t="shared" si="40"/>
        <v>4.5129000000000002E-3</v>
      </c>
      <c r="AN46" s="92">
        <f t="shared" si="41"/>
        <v>1.816154225457043E-2</v>
      </c>
      <c r="AO46" s="87">
        <f t="shared" si="42"/>
        <v>18161.542254570431</v>
      </c>
      <c r="AP46" s="91">
        <f t="shared" si="43"/>
        <v>42.007952555881296</v>
      </c>
      <c r="AQ46" s="93">
        <f t="shared" si="44"/>
        <v>507.22448532994872</v>
      </c>
      <c r="AR46" s="93">
        <f t="shared" si="45"/>
        <v>1521.6734559898464</v>
      </c>
      <c r="AS46" s="91">
        <f t="shared" si="46"/>
        <v>1.537760537718208E-2</v>
      </c>
      <c r="AT46" s="91">
        <f t="shared" si="47"/>
        <v>2.0606446493670148E-9</v>
      </c>
      <c r="AU46" s="91">
        <f t="shared" si="48"/>
        <v>0</v>
      </c>
      <c r="AV46" s="91">
        <f t="shared" si="49"/>
        <v>91.464337377596877</v>
      </c>
      <c r="AW46" s="91">
        <f t="shared" si="50"/>
        <v>78.597200132790618</v>
      </c>
    </row>
    <row r="47" spans="1:49" x14ac:dyDescent="0.4">
      <c r="A47" s="21">
        <v>90</v>
      </c>
      <c r="B47" s="21" t="s">
        <v>94</v>
      </c>
      <c r="C47" s="21">
        <v>44.401201999999998</v>
      </c>
      <c r="D47" s="21">
        <v>619982.69999999995</v>
      </c>
      <c r="E47" s="21">
        <v>6081970.5</v>
      </c>
      <c r="F47" s="21">
        <v>816.2</v>
      </c>
      <c r="G47" s="21">
        <v>14</v>
      </c>
      <c r="H47" s="21">
        <v>0</v>
      </c>
      <c r="I47" s="21">
        <v>118.85</v>
      </c>
      <c r="J47" s="21">
        <v>0</v>
      </c>
      <c r="K47" s="21">
        <v>100</v>
      </c>
      <c r="L47" s="21">
        <v>3.2</v>
      </c>
      <c r="M47" s="21">
        <v>100</v>
      </c>
      <c r="N47" s="21">
        <v>0</v>
      </c>
      <c r="O47" s="35">
        <v>7</v>
      </c>
      <c r="P47" s="21">
        <v>90</v>
      </c>
      <c r="Q47" s="4">
        <v>781.16</v>
      </c>
      <c r="R47" s="4">
        <v>30.899999619999999</v>
      </c>
      <c r="S47" s="89">
        <f t="shared" si="20"/>
        <v>380.32</v>
      </c>
      <c r="T47" s="90">
        <f t="shared" si="21"/>
        <v>2.9294544238463396</v>
      </c>
      <c r="U47" s="91">
        <f t="shared" si="22"/>
        <v>488.39549515554648</v>
      </c>
      <c r="V47" s="91">
        <f t="shared" si="23"/>
        <v>381515.02499570668</v>
      </c>
      <c r="W47" s="87">
        <f t="shared" si="24"/>
        <v>3815150249.957067</v>
      </c>
      <c r="X47" s="90">
        <f t="shared" si="25"/>
        <v>3.8151502499570671</v>
      </c>
      <c r="Y47" s="87">
        <f t="shared" si="26"/>
        <v>0.5</v>
      </c>
      <c r="Z47" s="87">
        <f t="shared" si="27"/>
        <v>11.74</v>
      </c>
      <c r="AA47" s="87">
        <f t="shared" si="28"/>
        <v>0.33600000000000002</v>
      </c>
      <c r="AB47" s="90">
        <f t="shared" si="29"/>
        <v>3.6434655277391998</v>
      </c>
      <c r="AC47" s="91">
        <f t="shared" si="30"/>
        <v>0.65970475333919998</v>
      </c>
      <c r="AD47" s="91">
        <f t="shared" si="31"/>
        <v>2.6488786029391997</v>
      </c>
      <c r="AE47" s="91">
        <f t="shared" si="32"/>
        <v>54.218237019928566</v>
      </c>
      <c r="AF47" s="91">
        <f t="shared" si="33"/>
        <v>162.65471105978571</v>
      </c>
      <c r="AG47" s="87">
        <f t="shared" si="34"/>
        <v>0</v>
      </c>
      <c r="AH47" s="87">
        <f t="shared" si="35"/>
        <v>0</v>
      </c>
      <c r="AI47" s="92">
        <f t="shared" si="36"/>
        <v>7</v>
      </c>
      <c r="AJ47" s="87">
        <f t="shared" si="37"/>
        <v>380.32</v>
      </c>
      <c r="AK47" s="87">
        <f t="shared" si="38"/>
        <v>574.38563336875552</v>
      </c>
      <c r="AL47" s="87">
        <f t="shared" si="39"/>
        <v>0.65970475333919998</v>
      </c>
      <c r="AM47" s="87">
        <f t="shared" si="40"/>
        <v>3.8031999999999996E-2</v>
      </c>
      <c r="AN47" s="92">
        <f t="shared" si="41"/>
        <v>0.14509779430636716</v>
      </c>
      <c r="AO47" s="87">
        <f t="shared" si="42"/>
        <v>145097.79430636714</v>
      </c>
      <c r="AP47" s="91">
        <f t="shared" si="43"/>
        <v>39.824116133850595</v>
      </c>
      <c r="AQ47" s="93">
        <f t="shared" si="44"/>
        <v>27.297827225969375</v>
      </c>
      <c r="AR47" s="93">
        <f t="shared" si="45"/>
        <v>81.893481677908113</v>
      </c>
      <c r="AS47" s="91">
        <f t="shared" si="46"/>
        <v>26.013784147955292</v>
      </c>
      <c r="AT47" s="91">
        <f t="shared" si="47"/>
        <v>11.099880556925648</v>
      </c>
      <c r="AU47" s="91">
        <f t="shared" si="48"/>
        <v>7.3226439649012161</v>
      </c>
      <c r="AV47" s="91">
        <f t="shared" si="49"/>
        <v>0</v>
      </c>
      <c r="AW47" s="91">
        <f t="shared" si="50"/>
        <v>0</v>
      </c>
    </row>
    <row r="48" spans="1:49" x14ac:dyDescent="0.4">
      <c r="A48" s="21">
        <v>101</v>
      </c>
      <c r="B48" s="21" t="s">
        <v>94</v>
      </c>
      <c r="C48" s="21">
        <v>56.040238000000002</v>
      </c>
      <c r="D48" s="21">
        <v>620239.6</v>
      </c>
      <c r="E48" s="21">
        <v>6082171</v>
      </c>
      <c r="F48" s="21">
        <v>817.7</v>
      </c>
      <c r="G48" s="21">
        <v>16</v>
      </c>
      <c r="H48" s="21">
        <v>0</v>
      </c>
      <c r="I48" s="21">
        <v>52.95</v>
      </c>
      <c r="J48" s="21">
        <v>0</v>
      </c>
      <c r="K48" s="21">
        <v>100</v>
      </c>
      <c r="L48" s="21">
        <v>3.6</v>
      </c>
      <c r="M48" s="21">
        <v>100</v>
      </c>
      <c r="N48" s="21">
        <v>1</v>
      </c>
      <c r="O48" s="35">
        <v>12</v>
      </c>
      <c r="P48" s="21">
        <v>90</v>
      </c>
      <c r="Q48" s="4">
        <v>781.16</v>
      </c>
      <c r="R48" s="4">
        <v>30.899999619999999</v>
      </c>
      <c r="S48" s="89">
        <f t="shared" si="20"/>
        <v>190.62</v>
      </c>
      <c r="T48" s="90">
        <f t="shared" si="21"/>
        <v>3.1430387596364455</v>
      </c>
      <c r="U48" s="91">
        <f t="shared" si="22"/>
        <v>506.48395255361049</v>
      </c>
      <c r="V48" s="91">
        <f t="shared" si="23"/>
        <v>395645.00437677838</v>
      </c>
      <c r="W48" s="87">
        <f t="shared" si="24"/>
        <v>3956450043.7677836</v>
      </c>
      <c r="X48" s="90">
        <f t="shared" si="25"/>
        <v>3.9564500437677834</v>
      </c>
      <c r="Y48" s="87">
        <f t="shared" si="26"/>
        <v>0.5</v>
      </c>
      <c r="Z48" s="87">
        <f t="shared" si="27"/>
        <v>11.74</v>
      </c>
      <c r="AA48" s="87">
        <f t="shared" si="28"/>
        <v>0.33600000000000002</v>
      </c>
      <c r="AB48" s="90">
        <f t="shared" si="29"/>
        <v>1.8261395637822002</v>
      </c>
      <c r="AC48" s="91">
        <f t="shared" si="30"/>
        <v>0</v>
      </c>
      <c r="AD48" s="91">
        <f t="shared" si="31"/>
        <v>0.57083823258220001</v>
      </c>
      <c r="AE48" s="91">
        <f t="shared" si="32"/>
        <v>27.174695889616071</v>
      </c>
      <c r="AF48" s="91">
        <f t="shared" si="33"/>
        <v>81.52408766884821</v>
      </c>
      <c r="AG48" s="87">
        <f t="shared" si="34"/>
        <v>0</v>
      </c>
      <c r="AH48" s="87">
        <f t="shared" si="35"/>
        <v>1</v>
      </c>
      <c r="AI48" s="92">
        <f t="shared" si="36"/>
        <v>12</v>
      </c>
      <c r="AJ48" s="87">
        <f t="shared" si="37"/>
        <v>190.62</v>
      </c>
      <c r="AK48" s="87">
        <f t="shared" si="38"/>
        <v>336.68140413208914</v>
      </c>
      <c r="AL48" s="87">
        <f t="shared" si="39"/>
        <v>0.57083823258220001</v>
      </c>
      <c r="AM48" s="87">
        <f t="shared" si="40"/>
        <v>1.9061999999999999E-2</v>
      </c>
      <c r="AN48" s="92">
        <f t="shared" si="41"/>
        <v>7.5417850734301489E-2</v>
      </c>
      <c r="AO48" s="87">
        <f t="shared" si="42"/>
        <v>75417.850734301494</v>
      </c>
      <c r="AP48" s="91">
        <f t="shared" si="43"/>
        <v>41.299061818747397</v>
      </c>
      <c r="AQ48" s="93">
        <f t="shared" si="44"/>
        <v>68.740711613524709</v>
      </c>
      <c r="AR48" s="93">
        <f t="shared" si="45"/>
        <v>206.22213484057411</v>
      </c>
      <c r="AS48" s="91">
        <f t="shared" si="46"/>
        <v>14.132607021836497</v>
      </c>
      <c r="AT48" s="91">
        <f t="shared" si="47"/>
        <v>1.6549560952758742</v>
      </c>
      <c r="AU48" s="91">
        <f t="shared" si="48"/>
        <v>8.0674324141239353</v>
      </c>
      <c r="AV48" s="91">
        <f t="shared" si="49"/>
        <v>28.865542110383931</v>
      </c>
      <c r="AW48" s="91">
        <f t="shared" si="50"/>
        <v>0</v>
      </c>
    </row>
    <row r="49" spans="1:49" x14ac:dyDescent="0.4">
      <c r="A49" s="21">
        <v>100</v>
      </c>
      <c r="B49" s="21" t="s">
        <v>94</v>
      </c>
      <c r="C49" s="21">
        <v>112.282453</v>
      </c>
      <c r="D49" s="21">
        <v>620213.9</v>
      </c>
      <c r="E49" s="21">
        <v>6082124.7000000002</v>
      </c>
      <c r="F49" s="21">
        <v>828.2</v>
      </c>
      <c r="G49" s="21">
        <v>14</v>
      </c>
      <c r="H49" s="21">
        <v>0</v>
      </c>
      <c r="I49" s="21">
        <v>57.7</v>
      </c>
      <c r="J49" s="21">
        <v>0</v>
      </c>
      <c r="K49" s="21">
        <v>100</v>
      </c>
      <c r="L49" s="21">
        <v>3.5</v>
      </c>
      <c r="M49" s="21">
        <v>100</v>
      </c>
      <c r="N49" s="21">
        <v>1</v>
      </c>
      <c r="O49" s="35">
        <v>5</v>
      </c>
      <c r="P49" s="21">
        <v>90</v>
      </c>
      <c r="Q49" s="4">
        <v>781.16</v>
      </c>
      <c r="R49" s="4">
        <v>30.899999619999999</v>
      </c>
      <c r="S49" s="89">
        <f t="shared" si="20"/>
        <v>201.95000000000002</v>
      </c>
      <c r="T49" s="90">
        <f t="shared" si="21"/>
        <v>2.9294544238463396</v>
      </c>
      <c r="U49" s="91">
        <f t="shared" si="22"/>
        <v>488.39549515554648</v>
      </c>
      <c r="V49" s="91">
        <f t="shared" si="23"/>
        <v>381515.02499570668</v>
      </c>
      <c r="W49" s="87">
        <f t="shared" si="24"/>
        <v>3815150249.957067</v>
      </c>
      <c r="X49" s="90">
        <f t="shared" si="25"/>
        <v>3.8151502499570671</v>
      </c>
      <c r="Y49" s="87">
        <f t="shared" si="26"/>
        <v>0.5</v>
      </c>
      <c r="Z49" s="87">
        <f t="shared" si="27"/>
        <v>11.74</v>
      </c>
      <c r="AA49" s="87">
        <f t="shared" si="28"/>
        <v>0.33600000000000002</v>
      </c>
      <c r="AB49" s="90">
        <f t="shared" si="29"/>
        <v>1.9346809616295002</v>
      </c>
      <c r="AC49" s="91">
        <f t="shared" si="30"/>
        <v>0</v>
      </c>
      <c r="AD49" s="91">
        <f t="shared" si="31"/>
        <v>0</v>
      </c>
      <c r="AE49" s="91">
        <f t="shared" si="32"/>
        <v>28.789895262343752</v>
      </c>
      <c r="AF49" s="91">
        <f t="shared" si="33"/>
        <v>86.369685787031258</v>
      </c>
      <c r="AG49" s="87">
        <f t="shared" si="34"/>
        <v>0</v>
      </c>
      <c r="AH49" s="87">
        <f t="shared" si="35"/>
        <v>1</v>
      </c>
      <c r="AI49" s="92">
        <f t="shared" si="36"/>
        <v>5</v>
      </c>
      <c r="AJ49" s="87">
        <f t="shared" si="37"/>
        <v>201.95000000000002</v>
      </c>
      <c r="AK49" s="87">
        <f t="shared" si="38"/>
        <v>803.15992719688995</v>
      </c>
      <c r="AL49" s="87">
        <f t="shared" si="39"/>
        <v>0</v>
      </c>
      <c r="AM49" s="87">
        <f t="shared" si="40"/>
        <v>2.0195000000000001E-2</v>
      </c>
      <c r="AN49" s="92">
        <f t="shared" si="41"/>
        <v>7.704695929788298E-2</v>
      </c>
      <c r="AO49" s="87">
        <f t="shared" si="42"/>
        <v>77046.959297882975</v>
      </c>
      <c r="AP49" s="91">
        <f t="shared" si="43"/>
        <v>39.824116133850602</v>
      </c>
      <c r="AQ49" s="93">
        <f t="shared" si="44"/>
        <v>130.00215524329215</v>
      </c>
      <c r="AR49" s="93">
        <f t="shared" si="45"/>
        <v>390.00646572987642</v>
      </c>
      <c r="AS49" s="91">
        <f t="shared" si="46"/>
        <v>5.2406159545508908</v>
      </c>
      <c r="AT49" s="91">
        <f t="shared" si="47"/>
        <v>9.0751688169847161E-2</v>
      </c>
      <c r="AU49" s="91">
        <f t="shared" si="48"/>
        <v>0</v>
      </c>
      <c r="AV49" s="91">
        <f t="shared" si="49"/>
        <v>83.492557737656256</v>
      </c>
      <c r="AW49" s="91">
        <f t="shared" si="50"/>
        <v>25.912767212968745</v>
      </c>
    </row>
    <row r="50" spans="1:49" x14ac:dyDescent="0.4">
      <c r="A50" s="21">
        <v>91</v>
      </c>
      <c r="B50" s="21" t="s">
        <v>94</v>
      </c>
      <c r="C50" s="21">
        <v>61.332389999999997</v>
      </c>
      <c r="D50" s="21">
        <v>619988.69999999995</v>
      </c>
      <c r="E50" s="21">
        <v>6082088.5</v>
      </c>
      <c r="F50" s="21">
        <v>828.3</v>
      </c>
      <c r="G50" s="21">
        <v>2</v>
      </c>
      <c r="H50" s="21">
        <v>0</v>
      </c>
      <c r="I50" s="21">
        <v>19.29</v>
      </c>
      <c r="J50" s="21">
        <v>0</v>
      </c>
      <c r="K50" s="21">
        <v>100</v>
      </c>
      <c r="L50" s="21">
        <v>3.1</v>
      </c>
      <c r="M50" s="21">
        <v>100</v>
      </c>
      <c r="N50" s="21">
        <v>0</v>
      </c>
      <c r="O50" s="35">
        <v>13</v>
      </c>
      <c r="P50" s="21">
        <v>90</v>
      </c>
      <c r="Q50" s="4">
        <v>781.16</v>
      </c>
      <c r="R50" s="4">
        <v>30.899999619999999</v>
      </c>
      <c r="S50" s="89">
        <f t="shared" si="20"/>
        <v>59.798999999999999</v>
      </c>
      <c r="T50" s="90">
        <f t="shared" si="21"/>
        <v>1.6018257472049382</v>
      </c>
      <c r="U50" s="91">
        <f t="shared" si="22"/>
        <v>375.95862253078622</v>
      </c>
      <c r="V50" s="91">
        <f t="shared" si="23"/>
        <v>293683.83757614897</v>
      </c>
      <c r="W50" s="87">
        <f t="shared" si="24"/>
        <v>2936838375.7614899</v>
      </c>
      <c r="X50" s="90">
        <f t="shared" si="25"/>
        <v>2.9368383757614898</v>
      </c>
      <c r="Y50" s="87">
        <f t="shared" si="26"/>
        <v>0.5</v>
      </c>
      <c r="Z50" s="87">
        <f t="shared" si="27"/>
        <v>11.74</v>
      </c>
      <c r="AA50" s="87">
        <f t="shared" si="28"/>
        <v>0.33600000000000002</v>
      </c>
      <c r="AB50" s="90">
        <f t="shared" si="29"/>
        <v>0.57287440863819006</v>
      </c>
      <c r="AC50" s="91">
        <f t="shared" si="30"/>
        <v>0</v>
      </c>
      <c r="AD50" s="91">
        <f t="shared" si="31"/>
        <v>0</v>
      </c>
      <c r="AE50" s="91">
        <f t="shared" si="32"/>
        <v>8.5249167952111602</v>
      </c>
      <c r="AF50" s="91">
        <f t="shared" si="33"/>
        <v>25.574750385633479</v>
      </c>
      <c r="AG50" s="87">
        <f t="shared" si="34"/>
        <v>0</v>
      </c>
      <c r="AH50" s="87">
        <f t="shared" si="35"/>
        <v>0</v>
      </c>
      <c r="AI50" s="92">
        <f t="shared" si="36"/>
        <v>13</v>
      </c>
      <c r="AJ50" s="87">
        <f t="shared" si="37"/>
        <v>59.798999999999999</v>
      </c>
      <c r="AK50" s="87">
        <f t="shared" si="38"/>
        <v>311.17880378100608</v>
      </c>
      <c r="AL50" s="87">
        <f t="shared" si="39"/>
        <v>0</v>
      </c>
      <c r="AM50" s="87">
        <f t="shared" si="40"/>
        <v>5.9798999999999998E-3</v>
      </c>
      <c r="AN50" s="92">
        <f t="shared" si="41"/>
        <v>1.7561999803216131E-2</v>
      </c>
      <c r="AO50" s="87">
        <f t="shared" si="42"/>
        <v>17561.999803216131</v>
      </c>
      <c r="AP50" s="91">
        <f t="shared" si="43"/>
        <v>30.655933549141576</v>
      </c>
      <c r="AQ50" s="93">
        <f t="shared" si="44"/>
        <v>239.81618227035847</v>
      </c>
      <c r="AR50" s="93">
        <f t="shared" si="45"/>
        <v>719.44854681107552</v>
      </c>
      <c r="AS50" s="91">
        <f t="shared" si="46"/>
        <v>0.72738002381029199</v>
      </c>
      <c r="AT50" s="91">
        <f t="shared" si="47"/>
        <v>4.0950104773767839E-4</v>
      </c>
      <c r="AU50" s="91">
        <f t="shared" si="48"/>
        <v>0</v>
      </c>
      <c r="AV50" s="91">
        <f t="shared" si="49"/>
        <v>52.807473204788835</v>
      </c>
      <c r="AW50" s="91">
        <f t="shared" si="50"/>
        <v>35.757639614366518</v>
      </c>
    </row>
    <row r="51" spans="1:49" x14ac:dyDescent="0.4">
      <c r="A51" s="21">
        <v>98</v>
      </c>
      <c r="B51" s="21" t="s">
        <v>94</v>
      </c>
      <c r="C51" s="21">
        <v>103.495987</v>
      </c>
      <c r="D51" s="21">
        <v>620124.19999999995</v>
      </c>
      <c r="E51" s="21">
        <v>6082077.4000000004</v>
      </c>
      <c r="F51" s="21">
        <v>830.6</v>
      </c>
      <c r="G51" s="21">
        <v>8</v>
      </c>
      <c r="H51" s="21">
        <v>0</v>
      </c>
      <c r="I51" s="21">
        <v>48.57</v>
      </c>
      <c r="J51" s="21">
        <v>0</v>
      </c>
      <c r="K51" s="21">
        <v>100</v>
      </c>
      <c r="L51" s="21">
        <v>3.8</v>
      </c>
      <c r="M51" s="21">
        <v>100</v>
      </c>
      <c r="N51" s="21">
        <v>0</v>
      </c>
      <c r="O51" s="35">
        <v>7</v>
      </c>
      <c r="P51" s="21">
        <v>90</v>
      </c>
      <c r="Q51" s="4">
        <v>781.16</v>
      </c>
      <c r="R51" s="4">
        <v>30.899999619999999</v>
      </c>
      <c r="S51" s="89">
        <f t="shared" si="20"/>
        <v>184.566</v>
      </c>
      <c r="T51" s="90">
        <f t="shared" si="21"/>
        <v>2.2523775068692409</v>
      </c>
      <c r="U51" s="91">
        <f t="shared" si="22"/>
        <v>431.053851056756</v>
      </c>
      <c r="V51" s="91">
        <f t="shared" si="23"/>
        <v>336722.02629149548</v>
      </c>
      <c r="W51" s="87">
        <f t="shared" si="24"/>
        <v>3367220262.9149547</v>
      </c>
      <c r="X51" s="90">
        <f t="shared" si="25"/>
        <v>3.3672202629149548</v>
      </c>
      <c r="Y51" s="87">
        <f t="shared" si="26"/>
        <v>0.5</v>
      </c>
      <c r="Z51" s="87">
        <f t="shared" si="27"/>
        <v>11.74</v>
      </c>
      <c r="AA51" s="87">
        <f t="shared" si="28"/>
        <v>0.33600000000000002</v>
      </c>
      <c r="AB51" s="90">
        <f t="shared" si="29"/>
        <v>1.76814224493246</v>
      </c>
      <c r="AC51" s="91">
        <f t="shared" si="30"/>
        <v>0</v>
      </c>
      <c r="AD51" s="91">
        <f t="shared" si="31"/>
        <v>0</v>
      </c>
      <c r="AE51" s="91">
        <f t="shared" si="32"/>
        <v>26.311640549590177</v>
      </c>
      <c r="AF51" s="91">
        <f t="shared" si="33"/>
        <v>78.934921648770526</v>
      </c>
      <c r="AG51" s="87">
        <f t="shared" si="34"/>
        <v>0</v>
      </c>
      <c r="AH51" s="87">
        <f t="shared" si="35"/>
        <v>0</v>
      </c>
      <c r="AI51" s="92">
        <f t="shared" si="36"/>
        <v>7</v>
      </c>
      <c r="AJ51" s="87">
        <f t="shared" si="37"/>
        <v>184.566</v>
      </c>
      <c r="AK51" s="87">
        <f t="shared" si="38"/>
        <v>574.38563336875552</v>
      </c>
      <c r="AL51" s="87">
        <f t="shared" si="39"/>
        <v>0</v>
      </c>
      <c r="AM51" s="87">
        <f t="shared" si="40"/>
        <v>1.84566E-2</v>
      </c>
      <c r="AN51" s="92">
        <f t="shared" si="41"/>
        <v>6.2147437504516158E-2</v>
      </c>
      <c r="AO51" s="87">
        <f t="shared" si="42"/>
        <v>62147.437504516158</v>
      </c>
      <c r="AP51" s="91">
        <f t="shared" si="43"/>
        <v>35.148437679509257</v>
      </c>
      <c r="AQ51" s="93">
        <f t="shared" si="44"/>
        <v>131.11558843437712</v>
      </c>
      <c r="AR51" s="93">
        <f t="shared" si="45"/>
        <v>393.34676530313129</v>
      </c>
      <c r="AS51" s="91">
        <f t="shared" si="46"/>
        <v>4.5456784501629954</v>
      </c>
      <c r="AT51" s="91">
        <f t="shared" si="47"/>
        <v>7.602984117666442E-2</v>
      </c>
      <c r="AU51" s="91">
        <f t="shared" si="48"/>
        <v>0</v>
      </c>
      <c r="AV51" s="91">
        <f t="shared" si="49"/>
        <v>77.184346450409819</v>
      </c>
      <c r="AW51" s="91">
        <f t="shared" si="50"/>
        <v>24.561065351229473</v>
      </c>
    </row>
    <row r="52" spans="1:49" x14ac:dyDescent="0.4">
      <c r="A52" s="87">
        <v>98</v>
      </c>
      <c r="B52" s="87" t="s">
        <v>94</v>
      </c>
      <c r="C52" s="87">
        <v>103.495987</v>
      </c>
      <c r="D52" s="87">
        <v>620124.19999999995</v>
      </c>
      <c r="E52" s="87">
        <v>6082077.4000000004</v>
      </c>
      <c r="F52" s="87">
        <v>830.6</v>
      </c>
      <c r="G52" s="87">
        <v>8</v>
      </c>
      <c r="H52" s="87">
        <v>0</v>
      </c>
      <c r="I52" s="87">
        <v>48.57</v>
      </c>
      <c r="J52" s="87">
        <v>0</v>
      </c>
      <c r="K52" s="87">
        <v>100</v>
      </c>
      <c r="L52" s="87">
        <v>3.8</v>
      </c>
      <c r="M52" s="87">
        <v>100</v>
      </c>
      <c r="N52" s="87">
        <v>0</v>
      </c>
      <c r="O52" s="88">
        <v>7</v>
      </c>
      <c r="P52" s="87">
        <v>90</v>
      </c>
      <c r="Q52" s="89">
        <v>781.16</v>
      </c>
      <c r="R52" s="89">
        <v>30.899999619999999</v>
      </c>
      <c r="S52" s="89">
        <f t="shared" si="20"/>
        <v>184.566</v>
      </c>
      <c r="T52" s="90">
        <f t="shared" si="21"/>
        <v>2.2523775068692409</v>
      </c>
      <c r="U52" s="91">
        <f t="shared" si="22"/>
        <v>431.053851056756</v>
      </c>
      <c r="V52" s="91">
        <f t="shared" si="23"/>
        <v>336722.02629149548</v>
      </c>
      <c r="W52" s="90">
        <f t="shared" si="24"/>
        <v>3367220262.9149547</v>
      </c>
      <c r="X52" s="90">
        <f t="shared" si="25"/>
        <v>3.3672202629149548</v>
      </c>
      <c r="Y52" s="87">
        <f t="shared" si="26"/>
        <v>0.5</v>
      </c>
      <c r="Z52" s="87">
        <f t="shared" si="27"/>
        <v>11.74</v>
      </c>
      <c r="AA52" s="90">
        <f t="shared" si="28"/>
        <v>0.33600000000000002</v>
      </c>
      <c r="AB52" s="90">
        <f t="shared" si="29"/>
        <v>1.76814224493246</v>
      </c>
      <c r="AC52" s="91">
        <f t="shared" si="30"/>
        <v>0</v>
      </c>
      <c r="AD52" s="91">
        <f t="shared" si="31"/>
        <v>0</v>
      </c>
      <c r="AE52" s="91">
        <f t="shared" si="32"/>
        <v>26.311640549590177</v>
      </c>
      <c r="AF52" s="91">
        <f t="shared" si="33"/>
        <v>78.934921648770526</v>
      </c>
      <c r="AG52" s="87">
        <f t="shared" si="34"/>
        <v>0</v>
      </c>
      <c r="AH52" s="92">
        <f t="shared" si="35"/>
        <v>0</v>
      </c>
      <c r="AI52" s="92">
        <f t="shared" si="36"/>
        <v>7</v>
      </c>
      <c r="AJ52" s="87">
        <f t="shared" si="37"/>
        <v>184.566</v>
      </c>
      <c r="AK52" s="87">
        <f t="shared" si="38"/>
        <v>574.38563336875552</v>
      </c>
      <c r="AL52" s="87">
        <f t="shared" si="39"/>
        <v>0</v>
      </c>
      <c r="AM52" s="92">
        <f t="shared" si="40"/>
        <v>1.84566E-2</v>
      </c>
      <c r="AN52" s="92">
        <f t="shared" si="41"/>
        <v>6.2147437504516158E-2</v>
      </c>
      <c r="AO52" s="91">
        <f t="shared" si="42"/>
        <v>62147.437504516158</v>
      </c>
      <c r="AP52" s="91">
        <f t="shared" si="43"/>
        <v>35.148437679509257</v>
      </c>
      <c r="AQ52" s="93">
        <f t="shared" si="44"/>
        <v>131.11558843437712</v>
      </c>
      <c r="AR52" s="93">
        <f t="shared" si="45"/>
        <v>393.34676530313129</v>
      </c>
      <c r="AS52" s="91">
        <f t="shared" si="46"/>
        <v>4.5456784501629954</v>
      </c>
      <c r="AT52" s="91">
        <f t="shared" si="47"/>
        <v>7.602984117666442E-2</v>
      </c>
      <c r="AU52" s="91">
        <f t="shared" si="48"/>
        <v>0</v>
      </c>
      <c r="AV52" s="91">
        <f t="shared" si="49"/>
        <v>77.184346450409819</v>
      </c>
      <c r="AW52" s="91">
        <f t="shared" si="50"/>
        <v>24.561065351229473</v>
      </c>
    </row>
    <row r="53" spans="1:49" x14ac:dyDescent="0.4">
      <c r="O53" s="35"/>
      <c r="Q53" s="4"/>
      <c r="R53" s="4"/>
      <c r="S53" s="4"/>
    </row>
    <row r="54" spans="1:49" x14ac:dyDescent="0.4">
      <c r="O54" s="35"/>
      <c r="Q54" s="4"/>
      <c r="R54" s="4"/>
      <c r="S54" s="4"/>
    </row>
    <row r="58" spans="1:49" x14ac:dyDescent="0.4">
      <c r="Q58" s="4"/>
      <c r="R58" s="4"/>
      <c r="S58" s="4"/>
      <c r="T58" s="5"/>
      <c r="U58" s="8"/>
      <c r="V58" s="8"/>
      <c r="X58" s="5"/>
      <c r="AB58" s="5"/>
      <c r="AC58" s="8"/>
      <c r="AD58" s="8"/>
      <c r="AE58" s="8"/>
      <c r="AF58" s="8"/>
      <c r="AI58" s="9"/>
      <c r="AN58" s="9"/>
      <c r="AP58" s="8"/>
      <c r="AQ58" s="10"/>
      <c r="AR58" s="10"/>
      <c r="AS58" s="8"/>
      <c r="AT58" s="8"/>
      <c r="AU58" s="8"/>
    </row>
    <row r="59" spans="1:49" x14ac:dyDescent="0.4">
      <c r="Q59" s="4"/>
      <c r="R59" s="4"/>
      <c r="S59" s="4"/>
      <c r="T59" s="5"/>
      <c r="U59" s="8"/>
      <c r="V59" s="8"/>
      <c r="X59" s="5"/>
      <c r="AB59" s="5"/>
      <c r="AC59" s="8"/>
      <c r="AD59" s="8"/>
      <c r="AE59" s="8"/>
      <c r="AF59" s="8"/>
      <c r="AI59" s="9"/>
      <c r="AN59" s="9"/>
      <c r="AP59" s="8"/>
      <c r="AQ59" s="10"/>
      <c r="AR59" s="10"/>
      <c r="AS59" s="8"/>
      <c r="AT59" s="8"/>
      <c r="AU59" s="8"/>
    </row>
    <row r="60" spans="1:49" x14ac:dyDescent="0.4">
      <c r="Q60" s="4"/>
      <c r="R60" s="4"/>
      <c r="S60" s="4"/>
      <c r="T60" s="5"/>
      <c r="U60" s="8"/>
      <c r="V60" s="8"/>
      <c r="X60" s="5"/>
      <c r="AB60" s="5"/>
      <c r="AC60" s="8"/>
      <c r="AD60" s="8"/>
      <c r="AE60" s="8"/>
      <c r="AF60" s="8"/>
      <c r="AI60" s="9"/>
      <c r="AN60" s="9"/>
      <c r="AP60" s="8"/>
      <c r="AQ60" s="10"/>
      <c r="AR60" s="10"/>
      <c r="AS60" s="8"/>
      <c r="AT60" s="8"/>
      <c r="AU60" s="8"/>
    </row>
    <row r="61" spans="1:49" x14ac:dyDescent="0.4">
      <c r="Q61" s="4"/>
      <c r="R61" s="4"/>
      <c r="S61" s="4"/>
      <c r="T61" s="5"/>
      <c r="U61" s="8"/>
      <c r="V61" s="8"/>
      <c r="X61" s="5"/>
      <c r="AB61" s="5"/>
      <c r="AC61" s="8"/>
      <c r="AD61" s="8"/>
      <c r="AE61" s="8"/>
      <c r="AF61" s="8"/>
      <c r="AI61" s="9"/>
      <c r="AN61" s="9"/>
      <c r="AP61" s="8"/>
      <c r="AQ61" s="10"/>
      <c r="AR61" s="10"/>
      <c r="AS61" s="8"/>
      <c r="AT61" s="8"/>
      <c r="AU61" s="8"/>
    </row>
    <row r="62" spans="1:49" x14ac:dyDescent="0.4">
      <c r="Q62" s="4"/>
      <c r="R62" s="4"/>
      <c r="S62" s="4"/>
      <c r="T62" s="5"/>
      <c r="U62" s="8"/>
      <c r="V62" s="8"/>
      <c r="X62" s="5"/>
      <c r="AB62" s="5"/>
      <c r="AC62" s="8"/>
      <c r="AD62" s="8"/>
      <c r="AE62" s="8"/>
      <c r="AF62" s="8"/>
      <c r="AI62" s="9"/>
      <c r="AN62" s="9"/>
      <c r="AP62" s="8"/>
      <c r="AQ62" s="10"/>
      <c r="AR62" s="10"/>
      <c r="AS62" s="8"/>
      <c r="AT62" s="8"/>
      <c r="AU62" s="8"/>
    </row>
    <row r="63" spans="1:49" x14ac:dyDescent="0.4">
      <c r="Q63" s="4"/>
      <c r="R63" s="4"/>
      <c r="S63" s="4"/>
      <c r="T63" s="5"/>
      <c r="U63" s="8"/>
      <c r="V63" s="8"/>
      <c r="X63" s="5"/>
      <c r="AB63" s="5"/>
      <c r="AC63" s="8"/>
      <c r="AD63" s="8"/>
      <c r="AE63" s="8"/>
      <c r="AF63" s="8"/>
      <c r="AI63" s="9"/>
      <c r="AN63" s="9"/>
      <c r="AP63" s="8"/>
      <c r="AQ63" s="10"/>
      <c r="AR63" s="10"/>
      <c r="AS63" s="8"/>
      <c r="AT63" s="8"/>
      <c r="AU63" s="8"/>
    </row>
    <row r="64" spans="1:49" x14ac:dyDescent="0.4">
      <c r="Q64" s="4"/>
      <c r="R64" s="4"/>
      <c r="S64" s="4"/>
      <c r="T64" s="5"/>
      <c r="U64" s="8"/>
      <c r="V64" s="8"/>
      <c r="X64" s="5"/>
      <c r="AB64" s="5"/>
      <c r="AC64" s="8"/>
      <c r="AD64" s="8"/>
      <c r="AE64" s="8"/>
      <c r="AF64" s="8"/>
      <c r="AI64" s="9"/>
      <c r="AN64" s="9"/>
      <c r="AP64" s="8"/>
      <c r="AQ64" s="10"/>
      <c r="AR64" s="10"/>
      <c r="AS64" s="8"/>
      <c r="AT64" s="8"/>
      <c r="AU64" s="8"/>
    </row>
    <row r="65" spans="17:47" x14ac:dyDescent="0.4">
      <c r="Q65" s="4"/>
      <c r="R65" s="4"/>
      <c r="S65" s="4"/>
      <c r="T65" s="5"/>
      <c r="U65" s="8"/>
      <c r="V65" s="8"/>
      <c r="X65" s="5"/>
      <c r="AB65" s="5"/>
      <c r="AC65" s="8"/>
      <c r="AD65" s="8"/>
      <c r="AE65" s="8"/>
      <c r="AF65" s="8"/>
      <c r="AI65" s="9"/>
      <c r="AN65" s="9"/>
      <c r="AP65" s="8"/>
      <c r="AQ65" s="10"/>
      <c r="AR65" s="10"/>
      <c r="AS65" s="8"/>
      <c r="AT65" s="8"/>
      <c r="AU65" s="8"/>
    </row>
    <row r="66" spans="17:47" x14ac:dyDescent="0.4">
      <c r="Q66" s="4"/>
      <c r="R66" s="4"/>
      <c r="S66" s="4"/>
      <c r="T66" s="5"/>
      <c r="U66" s="8"/>
      <c r="V66" s="8"/>
      <c r="X66" s="5"/>
      <c r="AB66" s="5"/>
      <c r="AC66" s="8"/>
      <c r="AD66" s="8"/>
      <c r="AE66" s="8"/>
      <c r="AF66" s="8"/>
      <c r="AI66" s="9"/>
      <c r="AN66" s="9"/>
      <c r="AP66" s="8"/>
      <c r="AQ66" s="10"/>
      <c r="AR66" s="10"/>
      <c r="AS66" s="8"/>
      <c r="AT66" s="8"/>
      <c r="AU66" s="8"/>
    </row>
    <row r="67" spans="17:47" x14ac:dyDescent="0.4">
      <c r="Q67" s="4"/>
      <c r="R67" s="4"/>
      <c r="S67" s="4"/>
      <c r="T67" s="5"/>
      <c r="U67" s="8"/>
      <c r="V67" s="8"/>
      <c r="X67" s="5"/>
      <c r="AB67" s="5"/>
      <c r="AC67" s="8"/>
      <c r="AD67" s="8"/>
      <c r="AE67" s="8"/>
      <c r="AF67" s="8"/>
      <c r="AI67" s="9"/>
      <c r="AN67" s="9"/>
      <c r="AP67" s="8"/>
      <c r="AQ67" s="10"/>
      <c r="AR67" s="10"/>
      <c r="AS67" s="8"/>
      <c r="AT67" s="8"/>
      <c r="AU67" s="8"/>
    </row>
    <row r="68" spans="17:47" x14ac:dyDescent="0.4">
      <c r="Q68" s="4"/>
      <c r="R68" s="4"/>
      <c r="S68" s="4"/>
      <c r="T68" s="5"/>
      <c r="U68" s="8"/>
      <c r="V68" s="8"/>
      <c r="X68" s="5"/>
      <c r="AB68" s="5"/>
      <c r="AC68" s="8"/>
      <c r="AD68" s="8"/>
      <c r="AE68" s="8"/>
      <c r="AF68" s="8"/>
      <c r="AI68" s="9"/>
      <c r="AN68" s="9"/>
      <c r="AP68" s="8"/>
      <c r="AQ68" s="10"/>
      <c r="AR68" s="10"/>
      <c r="AS68" s="8"/>
      <c r="AT68" s="8"/>
      <c r="AU68" s="8"/>
    </row>
    <row r="69" spans="17:47" x14ac:dyDescent="0.4">
      <c r="Q69" s="4"/>
      <c r="R69" s="4"/>
      <c r="S69" s="4"/>
      <c r="T69" s="5"/>
      <c r="U69" s="8"/>
      <c r="V69" s="8"/>
      <c r="X69" s="5"/>
      <c r="AB69" s="5"/>
      <c r="AC69" s="8"/>
      <c r="AD69" s="8"/>
      <c r="AE69" s="8"/>
      <c r="AF69" s="8"/>
      <c r="AI69" s="9"/>
      <c r="AN69" s="9"/>
      <c r="AP69" s="8"/>
      <c r="AQ69" s="10"/>
      <c r="AR69" s="10"/>
      <c r="AS69" s="8"/>
      <c r="AT69" s="8"/>
      <c r="AU69" s="8"/>
    </row>
    <row r="70" spans="17:47" x14ac:dyDescent="0.4">
      <c r="Q70" s="4"/>
      <c r="R70" s="4"/>
      <c r="S70" s="4"/>
      <c r="T70" s="5"/>
      <c r="U70" s="8"/>
      <c r="V70" s="8"/>
      <c r="X70" s="5"/>
      <c r="AB70" s="5"/>
      <c r="AC70" s="8"/>
      <c r="AD70" s="8"/>
      <c r="AE70" s="8"/>
      <c r="AF70" s="8"/>
      <c r="AI70" s="9"/>
      <c r="AN70" s="9"/>
      <c r="AP70" s="8"/>
      <c r="AQ70" s="10"/>
      <c r="AR70" s="10"/>
      <c r="AS70" s="8"/>
      <c r="AT70" s="8"/>
      <c r="AU70" s="8"/>
    </row>
    <row r="71" spans="17:47" x14ac:dyDescent="0.4">
      <c r="Q71" s="4"/>
      <c r="R71" s="4"/>
      <c r="S71" s="4"/>
      <c r="T71" s="5"/>
      <c r="U71" s="8"/>
      <c r="V71" s="8"/>
      <c r="X71" s="5"/>
      <c r="AB71" s="5"/>
      <c r="AC71" s="8"/>
      <c r="AD71" s="8"/>
      <c r="AE71" s="8"/>
      <c r="AF71" s="8"/>
      <c r="AI71" s="9"/>
      <c r="AN71" s="9"/>
      <c r="AP71" s="8"/>
      <c r="AQ71" s="10"/>
      <c r="AR71" s="10"/>
      <c r="AS71" s="8"/>
      <c r="AT71" s="8"/>
      <c r="AU71" s="8"/>
    </row>
    <row r="72" spans="17:47" x14ac:dyDescent="0.4">
      <c r="Q72" s="4"/>
      <c r="R72" s="4"/>
      <c r="S72" s="4"/>
      <c r="T72" s="5"/>
      <c r="U72" s="8"/>
      <c r="V72" s="8"/>
      <c r="X72" s="5"/>
      <c r="AB72" s="5"/>
      <c r="AC72" s="8"/>
      <c r="AD72" s="8"/>
      <c r="AE72" s="8"/>
      <c r="AF72" s="8"/>
      <c r="AI72" s="9"/>
      <c r="AN72" s="9"/>
      <c r="AP72" s="8"/>
      <c r="AQ72" s="10"/>
      <c r="AR72" s="10"/>
      <c r="AS72" s="8"/>
      <c r="AT72" s="8"/>
      <c r="AU72" s="8"/>
    </row>
    <row r="73" spans="17:47" x14ac:dyDescent="0.4">
      <c r="Q73" s="4"/>
      <c r="R73" s="4"/>
      <c r="S73" s="4"/>
      <c r="T73" s="5"/>
      <c r="U73" s="8"/>
      <c r="V73" s="8"/>
      <c r="X73" s="5"/>
      <c r="AB73" s="5"/>
      <c r="AC73" s="8"/>
      <c r="AD73" s="8"/>
      <c r="AE73" s="8"/>
      <c r="AF73" s="8"/>
      <c r="AI73" s="9"/>
      <c r="AN73" s="9"/>
      <c r="AP73" s="8"/>
      <c r="AQ73" s="10"/>
      <c r="AR73" s="10"/>
      <c r="AS73" s="8"/>
      <c r="AT73" s="8"/>
      <c r="AU73" s="8"/>
    </row>
    <row r="74" spans="17:47" x14ac:dyDescent="0.4">
      <c r="Q74" s="4"/>
      <c r="R74" s="4"/>
      <c r="S74" s="4"/>
      <c r="T74" s="5"/>
      <c r="U74" s="8"/>
      <c r="V74" s="8"/>
      <c r="X74" s="5"/>
      <c r="AB74" s="5"/>
      <c r="AC74" s="8"/>
      <c r="AD74" s="8"/>
      <c r="AE74" s="8"/>
      <c r="AF74" s="8"/>
      <c r="AI74" s="9"/>
      <c r="AN74" s="9"/>
      <c r="AP74" s="8"/>
      <c r="AQ74" s="10"/>
      <c r="AR74" s="10"/>
      <c r="AS74" s="8"/>
      <c r="AT74" s="8"/>
      <c r="AU74" s="8"/>
    </row>
    <row r="75" spans="17:47" x14ac:dyDescent="0.4">
      <c r="Q75" s="4"/>
      <c r="R75" s="4"/>
      <c r="S75" s="4"/>
      <c r="T75" s="5"/>
      <c r="U75" s="8"/>
      <c r="V75" s="8"/>
      <c r="X75" s="5"/>
      <c r="AB75" s="5"/>
      <c r="AC75" s="8"/>
      <c r="AD75" s="8"/>
      <c r="AE75" s="8"/>
      <c r="AF75" s="8"/>
      <c r="AI75" s="9"/>
      <c r="AN75" s="9"/>
      <c r="AP75" s="8"/>
      <c r="AQ75" s="10"/>
      <c r="AR75" s="10"/>
      <c r="AS75" s="8"/>
      <c r="AT75" s="8"/>
      <c r="AU75" s="8"/>
    </row>
    <row r="76" spans="17:47" x14ac:dyDescent="0.4">
      <c r="Q76" s="4"/>
      <c r="R76" s="4"/>
      <c r="S76" s="4"/>
      <c r="T76" s="5"/>
      <c r="U76" s="8"/>
      <c r="V76" s="8"/>
      <c r="X76" s="5"/>
      <c r="AB76" s="5"/>
      <c r="AC76" s="8"/>
      <c r="AD76" s="8"/>
      <c r="AE76" s="8"/>
      <c r="AF76" s="8"/>
      <c r="AI76" s="9"/>
      <c r="AN76" s="9"/>
      <c r="AP76" s="8"/>
      <c r="AQ76" s="10"/>
      <c r="AR76" s="10"/>
      <c r="AS76" s="8"/>
      <c r="AT76" s="8"/>
      <c r="AU76" s="8"/>
    </row>
    <row r="77" spans="17:47" x14ac:dyDescent="0.4">
      <c r="Q77" s="4"/>
      <c r="R77" s="4"/>
      <c r="S77" s="4"/>
      <c r="T77" s="5"/>
      <c r="U77" s="8"/>
      <c r="V77" s="8"/>
      <c r="X77" s="5"/>
      <c r="AB77" s="5"/>
      <c r="AC77" s="8"/>
      <c r="AD77" s="8"/>
      <c r="AE77" s="8"/>
      <c r="AF77" s="8"/>
      <c r="AI77" s="9"/>
      <c r="AN77" s="9"/>
      <c r="AP77" s="8"/>
      <c r="AQ77" s="10"/>
      <c r="AR77" s="10"/>
      <c r="AS77" s="8"/>
      <c r="AT77" s="8"/>
      <c r="AU77" s="8"/>
    </row>
    <row r="78" spans="17:47" x14ac:dyDescent="0.4">
      <c r="Q78" s="4"/>
      <c r="R78" s="4"/>
      <c r="S78" s="4"/>
      <c r="T78" s="5"/>
      <c r="U78" s="8"/>
      <c r="V78" s="8"/>
      <c r="X78" s="5"/>
      <c r="AB78" s="5"/>
      <c r="AC78" s="8"/>
      <c r="AD78" s="8"/>
      <c r="AE78" s="8"/>
      <c r="AF78" s="8"/>
      <c r="AI78" s="9"/>
      <c r="AN78" s="9"/>
      <c r="AP78" s="8"/>
      <c r="AQ78" s="10"/>
      <c r="AR78" s="10"/>
      <c r="AS78" s="8"/>
      <c r="AT78" s="8"/>
      <c r="AU78" s="8"/>
    </row>
    <row r="79" spans="17:47" x14ac:dyDescent="0.4">
      <c r="Q79" s="4"/>
      <c r="R79" s="4"/>
      <c r="S79" s="4"/>
      <c r="T79" s="5"/>
      <c r="U79" s="8"/>
      <c r="V79" s="8"/>
      <c r="X79" s="5"/>
      <c r="AB79" s="5"/>
      <c r="AC79" s="8"/>
      <c r="AD79" s="8"/>
      <c r="AE79" s="8"/>
      <c r="AF79" s="8"/>
      <c r="AI79" s="9"/>
      <c r="AN79" s="9"/>
      <c r="AP79" s="8"/>
      <c r="AQ79" s="10"/>
      <c r="AR79" s="10"/>
      <c r="AS79" s="8"/>
      <c r="AT79" s="8"/>
      <c r="AU79" s="8"/>
    </row>
    <row r="80" spans="17:47" x14ac:dyDescent="0.4">
      <c r="Q80" s="4"/>
      <c r="R80" s="4"/>
      <c r="S80" s="4"/>
      <c r="T80" s="5"/>
      <c r="U80" s="8"/>
      <c r="V80" s="8"/>
      <c r="X80" s="5"/>
      <c r="AB80" s="5"/>
      <c r="AC80" s="8"/>
      <c r="AD80" s="8"/>
      <c r="AE80" s="8"/>
      <c r="AF80" s="8"/>
      <c r="AI80" s="9"/>
      <c r="AN80" s="9"/>
      <c r="AP80" s="8"/>
      <c r="AQ80" s="10"/>
      <c r="AR80" s="10"/>
      <c r="AS80" s="8"/>
      <c r="AT80" s="8"/>
      <c r="AU80" s="8"/>
    </row>
    <row r="81" spans="17:47" x14ac:dyDescent="0.4">
      <c r="Q81" s="4"/>
      <c r="R81" s="4"/>
      <c r="S81" s="4"/>
      <c r="T81" s="5"/>
      <c r="U81" s="8"/>
      <c r="V81" s="8"/>
      <c r="X81" s="5"/>
      <c r="AB81" s="5"/>
      <c r="AC81" s="8"/>
      <c r="AD81" s="8"/>
      <c r="AE81" s="8"/>
      <c r="AF81" s="8"/>
      <c r="AI81" s="9"/>
      <c r="AN81" s="9"/>
      <c r="AP81" s="8"/>
      <c r="AQ81" s="10"/>
      <c r="AR81" s="10"/>
      <c r="AS81" s="8"/>
      <c r="AT81" s="8"/>
      <c r="AU81" s="8"/>
    </row>
    <row r="82" spans="17:47" x14ac:dyDescent="0.4">
      <c r="Q82" s="4"/>
      <c r="R82" s="4"/>
      <c r="S82" s="4"/>
      <c r="T82" s="5"/>
      <c r="U82" s="8"/>
      <c r="V82" s="8"/>
      <c r="X82" s="5"/>
      <c r="AB82" s="5"/>
      <c r="AC82" s="8"/>
      <c r="AD82" s="8"/>
      <c r="AE82" s="8"/>
      <c r="AF82" s="8"/>
      <c r="AI82" s="9"/>
      <c r="AN82" s="9"/>
      <c r="AP82" s="8"/>
      <c r="AQ82" s="10"/>
      <c r="AR82" s="10"/>
      <c r="AS82" s="8"/>
      <c r="AT82" s="8"/>
      <c r="AU82" s="8"/>
    </row>
    <row r="83" spans="17:47" x14ac:dyDescent="0.4">
      <c r="Q83" s="4"/>
      <c r="R83" s="4"/>
      <c r="S83" s="4"/>
      <c r="T83" s="5"/>
      <c r="U83" s="8"/>
      <c r="V83" s="8"/>
      <c r="X83" s="5"/>
      <c r="AB83" s="5"/>
      <c r="AC83" s="8"/>
      <c r="AD83" s="8"/>
      <c r="AE83" s="8"/>
      <c r="AF83" s="8"/>
      <c r="AI83" s="9"/>
      <c r="AN83" s="9"/>
      <c r="AP83" s="8"/>
      <c r="AQ83" s="10"/>
      <c r="AR83" s="10"/>
      <c r="AS83" s="8"/>
      <c r="AT83" s="8"/>
      <c r="AU83" s="8"/>
    </row>
    <row r="84" spans="17:47" x14ac:dyDescent="0.4">
      <c r="Q84" s="4"/>
      <c r="R84" s="4"/>
      <c r="S84" s="4"/>
      <c r="T84" s="5"/>
      <c r="U84" s="8"/>
      <c r="V84" s="8"/>
      <c r="X84" s="5"/>
      <c r="AB84" s="5"/>
      <c r="AC84" s="8"/>
      <c r="AD84" s="8"/>
      <c r="AE84" s="8"/>
      <c r="AF84" s="8"/>
      <c r="AI84" s="9"/>
      <c r="AN84" s="9"/>
      <c r="AP84" s="8"/>
      <c r="AQ84" s="10"/>
      <c r="AR84" s="10"/>
      <c r="AS84" s="8"/>
      <c r="AT84" s="8"/>
      <c r="AU84" s="8"/>
    </row>
    <row r="85" spans="17:47" x14ac:dyDescent="0.4">
      <c r="Q85" s="4"/>
      <c r="R85" s="4"/>
      <c r="S85" s="4"/>
      <c r="T85" s="5"/>
      <c r="U85" s="8"/>
      <c r="V85" s="8"/>
      <c r="X85" s="5"/>
      <c r="AB85" s="5"/>
      <c r="AC85" s="8"/>
      <c r="AD85" s="8"/>
      <c r="AE85" s="8"/>
      <c r="AF85" s="8"/>
      <c r="AI85" s="9"/>
      <c r="AN85" s="9"/>
      <c r="AP85" s="8"/>
      <c r="AQ85" s="10"/>
      <c r="AR85" s="10"/>
      <c r="AS85" s="8"/>
      <c r="AT85" s="8"/>
      <c r="AU85" s="8"/>
    </row>
    <row r="86" spans="17:47" x14ac:dyDescent="0.4">
      <c r="Q86" s="4"/>
      <c r="R86" s="4"/>
      <c r="S86" s="4"/>
      <c r="T86" s="5"/>
      <c r="U86" s="8"/>
      <c r="V86" s="8"/>
      <c r="X86" s="5"/>
      <c r="AB86" s="5"/>
      <c r="AC86" s="8"/>
      <c r="AD86" s="8"/>
      <c r="AE86" s="8"/>
      <c r="AF86" s="8"/>
      <c r="AI86" s="9"/>
      <c r="AN86" s="9"/>
      <c r="AP86" s="8"/>
      <c r="AQ86" s="10"/>
      <c r="AR86" s="10"/>
      <c r="AS86" s="8"/>
      <c r="AT86" s="8"/>
      <c r="AU86" s="8"/>
    </row>
    <row r="87" spans="17:47" x14ac:dyDescent="0.4">
      <c r="Q87" s="4"/>
      <c r="R87" s="4"/>
      <c r="S87" s="4"/>
      <c r="T87" s="5"/>
      <c r="U87" s="8"/>
      <c r="V87" s="8"/>
      <c r="X87" s="5"/>
      <c r="AB87" s="5"/>
      <c r="AC87" s="8"/>
      <c r="AD87" s="8"/>
      <c r="AE87" s="8"/>
      <c r="AF87" s="8"/>
      <c r="AI87" s="9"/>
      <c r="AN87" s="9"/>
      <c r="AP87" s="8"/>
      <c r="AQ87" s="10"/>
      <c r="AR87" s="10"/>
      <c r="AS87" s="8"/>
      <c r="AT87" s="8"/>
      <c r="AU87" s="8"/>
    </row>
    <row r="88" spans="17:47" x14ac:dyDescent="0.4">
      <c r="Q88" s="4"/>
      <c r="R88" s="4"/>
      <c r="S88" s="4"/>
      <c r="T88" s="5"/>
      <c r="U88" s="8"/>
      <c r="V88" s="8"/>
      <c r="X88" s="5"/>
      <c r="AB88" s="5"/>
      <c r="AC88" s="8"/>
      <c r="AD88" s="8"/>
      <c r="AE88" s="8"/>
      <c r="AF88" s="8"/>
      <c r="AI88" s="9"/>
      <c r="AN88" s="9"/>
      <c r="AP88" s="8"/>
      <c r="AQ88" s="10"/>
      <c r="AR88" s="10"/>
      <c r="AS88" s="8"/>
      <c r="AT88" s="8"/>
      <c r="AU88" s="8"/>
    </row>
    <row r="89" spans="17:47" x14ac:dyDescent="0.4">
      <c r="Q89" s="4"/>
      <c r="R89" s="4"/>
      <c r="S89" s="4"/>
      <c r="T89" s="5"/>
      <c r="U89" s="8"/>
      <c r="V89" s="8"/>
      <c r="X89" s="5"/>
      <c r="AB89" s="5"/>
      <c r="AC89" s="8"/>
      <c r="AD89" s="8"/>
      <c r="AE89" s="8"/>
      <c r="AF89" s="8"/>
      <c r="AI89" s="9"/>
      <c r="AN89" s="9"/>
      <c r="AP89" s="8"/>
      <c r="AQ89" s="10"/>
      <c r="AR89" s="10"/>
      <c r="AS89" s="8"/>
      <c r="AT89" s="8"/>
      <c r="AU89" s="8"/>
    </row>
    <row r="90" spans="17:47" x14ac:dyDescent="0.4">
      <c r="Q90" s="4"/>
      <c r="R90" s="4"/>
      <c r="S90" s="4"/>
      <c r="T90" s="5"/>
      <c r="U90" s="8"/>
      <c r="V90" s="8"/>
      <c r="X90" s="5"/>
      <c r="AB90" s="5"/>
      <c r="AC90" s="8"/>
      <c r="AD90" s="8"/>
      <c r="AE90" s="8"/>
      <c r="AF90" s="8"/>
      <c r="AI90" s="9"/>
      <c r="AN90" s="9"/>
      <c r="AP90" s="8"/>
      <c r="AQ90" s="10"/>
      <c r="AR90" s="10"/>
      <c r="AS90" s="8"/>
      <c r="AT90" s="8"/>
      <c r="AU90" s="8"/>
    </row>
    <row r="91" spans="17:47" x14ac:dyDescent="0.4">
      <c r="Q91" s="4"/>
      <c r="R91" s="4"/>
      <c r="S91" s="4"/>
      <c r="T91" s="5"/>
      <c r="U91" s="8"/>
      <c r="V91" s="8"/>
      <c r="X91" s="5"/>
      <c r="AB91" s="5"/>
      <c r="AC91" s="8"/>
      <c r="AD91" s="8"/>
      <c r="AE91" s="8"/>
      <c r="AF91" s="8"/>
      <c r="AI91" s="9"/>
      <c r="AN91" s="9"/>
      <c r="AP91" s="8"/>
      <c r="AQ91" s="10"/>
      <c r="AR91" s="10"/>
      <c r="AS91" s="8"/>
      <c r="AT91" s="8"/>
      <c r="AU91" s="8"/>
    </row>
    <row r="92" spans="17:47" x14ac:dyDescent="0.4">
      <c r="Q92" s="4"/>
      <c r="R92" s="4"/>
      <c r="S92" s="4"/>
      <c r="T92" s="5"/>
      <c r="U92" s="8"/>
      <c r="V92" s="8"/>
      <c r="X92" s="5"/>
      <c r="AB92" s="5"/>
      <c r="AC92" s="8"/>
      <c r="AD92" s="8"/>
      <c r="AE92" s="8"/>
      <c r="AF92" s="8"/>
      <c r="AI92" s="9"/>
      <c r="AN92" s="9"/>
      <c r="AP92" s="8"/>
      <c r="AQ92" s="10"/>
      <c r="AR92" s="10"/>
      <c r="AS92" s="8"/>
      <c r="AT92" s="8"/>
      <c r="AU92" s="8"/>
    </row>
    <row r="93" spans="17:47" x14ac:dyDescent="0.4">
      <c r="Q93" s="4"/>
      <c r="R93" s="4"/>
      <c r="S93" s="4"/>
      <c r="T93" s="5"/>
      <c r="U93" s="8"/>
      <c r="V93" s="8"/>
      <c r="X93" s="5"/>
      <c r="AB93" s="5"/>
      <c r="AC93" s="8"/>
      <c r="AD93" s="8"/>
      <c r="AE93" s="8"/>
      <c r="AF93" s="8"/>
      <c r="AI93" s="9"/>
      <c r="AN93" s="9"/>
      <c r="AP93" s="8"/>
      <c r="AQ93" s="10"/>
      <c r="AR93" s="10"/>
      <c r="AS93" s="8"/>
      <c r="AT93" s="8"/>
      <c r="AU93" s="8"/>
    </row>
    <row r="94" spans="17:47" x14ac:dyDescent="0.4">
      <c r="Q94" s="4"/>
      <c r="R94" s="4"/>
      <c r="S94" s="4"/>
      <c r="T94" s="5"/>
      <c r="U94" s="8"/>
      <c r="V94" s="8"/>
      <c r="X94" s="5"/>
      <c r="AB94" s="5"/>
      <c r="AC94" s="8"/>
      <c r="AD94" s="8"/>
      <c r="AE94" s="8"/>
      <c r="AF94" s="8"/>
      <c r="AI94" s="9"/>
      <c r="AN94" s="9"/>
      <c r="AP94" s="8"/>
      <c r="AQ94" s="10"/>
      <c r="AR94" s="10"/>
      <c r="AS94" s="8"/>
      <c r="AT94" s="8"/>
      <c r="AU94" s="8"/>
    </row>
    <row r="95" spans="17:47" x14ac:dyDescent="0.4">
      <c r="Q95" s="4"/>
      <c r="R95" s="4"/>
      <c r="S95" s="4"/>
      <c r="T95" s="5"/>
      <c r="U95" s="8"/>
      <c r="V95" s="8"/>
      <c r="X95" s="5"/>
      <c r="AB95" s="5"/>
      <c r="AC95" s="8"/>
      <c r="AD95" s="8"/>
      <c r="AE95" s="8"/>
      <c r="AF95" s="8"/>
      <c r="AI95" s="9"/>
      <c r="AN95" s="9"/>
      <c r="AP95" s="8"/>
      <c r="AQ95" s="10"/>
      <c r="AR95" s="10"/>
      <c r="AS95" s="8"/>
      <c r="AT95" s="8"/>
      <c r="AU95" s="8"/>
    </row>
    <row r="96" spans="17:47" x14ac:dyDescent="0.4">
      <c r="Q96" s="4"/>
      <c r="R96" s="4"/>
      <c r="S96" s="4"/>
      <c r="T96" s="5"/>
      <c r="U96" s="8"/>
      <c r="V96" s="8"/>
      <c r="X96" s="5"/>
      <c r="AB96" s="5"/>
      <c r="AC96" s="8"/>
      <c r="AD96" s="8"/>
      <c r="AE96" s="8"/>
      <c r="AF96" s="8"/>
      <c r="AI96" s="9"/>
      <c r="AN96" s="9"/>
      <c r="AP96" s="8"/>
      <c r="AQ96" s="10"/>
      <c r="AR96" s="10"/>
      <c r="AS96" s="8"/>
      <c r="AT96" s="8"/>
      <c r="AU96" s="8"/>
    </row>
    <row r="97" spans="17:47" x14ac:dyDescent="0.4">
      <c r="Q97" s="4"/>
      <c r="R97" s="4"/>
      <c r="S97" s="4"/>
      <c r="T97" s="5"/>
      <c r="U97" s="8"/>
      <c r="V97" s="8"/>
      <c r="X97" s="5"/>
      <c r="AB97" s="5"/>
      <c r="AC97" s="8"/>
      <c r="AD97" s="8"/>
      <c r="AE97" s="8"/>
      <c r="AF97" s="8"/>
      <c r="AI97" s="9"/>
      <c r="AN97" s="9"/>
      <c r="AP97" s="8"/>
      <c r="AQ97" s="10"/>
      <c r="AR97" s="10"/>
      <c r="AS97" s="8"/>
      <c r="AT97" s="8"/>
      <c r="AU97" s="8"/>
    </row>
    <row r="98" spans="17:47" x14ac:dyDescent="0.4">
      <c r="Q98" s="4"/>
      <c r="R98" s="4"/>
      <c r="S98" s="4"/>
      <c r="T98" s="5"/>
      <c r="U98" s="8"/>
      <c r="V98" s="8"/>
      <c r="X98" s="5"/>
      <c r="AB98" s="5"/>
      <c r="AC98" s="8"/>
      <c r="AD98" s="8"/>
      <c r="AE98" s="8"/>
      <c r="AF98" s="8"/>
      <c r="AI98" s="9"/>
      <c r="AN98" s="9"/>
      <c r="AP98" s="8"/>
      <c r="AQ98" s="10"/>
      <c r="AR98" s="10"/>
      <c r="AS98" s="8"/>
      <c r="AT98" s="8"/>
      <c r="AU98" s="8"/>
    </row>
    <row r="99" spans="17:47" x14ac:dyDescent="0.4">
      <c r="Q99" s="4"/>
      <c r="R99" s="4"/>
      <c r="S99" s="4"/>
      <c r="T99" s="5"/>
      <c r="U99" s="8"/>
      <c r="V99" s="8"/>
      <c r="X99" s="5"/>
      <c r="AB99" s="5"/>
      <c r="AC99" s="8"/>
      <c r="AD99" s="8"/>
      <c r="AE99" s="8"/>
      <c r="AF99" s="8"/>
      <c r="AI99" s="9"/>
      <c r="AN99" s="9"/>
      <c r="AP99" s="8"/>
      <c r="AQ99" s="10"/>
      <c r="AR99" s="10"/>
      <c r="AS99" s="8"/>
      <c r="AT99" s="8"/>
      <c r="AU99" s="8"/>
    </row>
    <row r="100" spans="17:47" x14ac:dyDescent="0.4">
      <c r="Q100" s="4"/>
      <c r="R100" s="4"/>
      <c r="S100" s="4"/>
      <c r="T100" s="5"/>
      <c r="U100" s="8"/>
      <c r="V100" s="8"/>
      <c r="X100" s="5"/>
      <c r="AB100" s="5"/>
      <c r="AC100" s="8"/>
      <c r="AD100" s="8"/>
      <c r="AE100" s="8"/>
      <c r="AF100" s="8"/>
      <c r="AI100" s="9"/>
      <c r="AN100" s="9"/>
      <c r="AP100" s="8"/>
      <c r="AQ100" s="10"/>
      <c r="AR100" s="10"/>
      <c r="AS100" s="8"/>
      <c r="AT100" s="8"/>
      <c r="AU100" s="8"/>
    </row>
    <row r="101" spans="17:47" x14ac:dyDescent="0.4">
      <c r="T101" s="5"/>
      <c r="U101" s="8"/>
      <c r="V101" s="8"/>
      <c r="X101" s="5"/>
      <c r="AB101" s="5"/>
      <c r="AC101" s="8"/>
      <c r="AD101" s="8"/>
      <c r="AE101" s="8"/>
      <c r="AF101" s="8"/>
      <c r="AI101" s="9"/>
      <c r="AN101" s="9"/>
      <c r="AP101" s="8"/>
      <c r="AQ101" s="10"/>
      <c r="AR101" s="10"/>
      <c r="AS101" s="8"/>
      <c r="AT101" s="8"/>
      <c r="AU101" s="8"/>
    </row>
    <row r="102" spans="17:47" x14ac:dyDescent="0.4">
      <c r="T102" s="5"/>
      <c r="U102" s="8"/>
      <c r="V102" s="8"/>
      <c r="X102" s="5"/>
      <c r="AB102" s="5"/>
      <c r="AC102" s="8"/>
      <c r="AD102" s="8"/>
      <c r="AE102" s="8"/>
      <c r="AF102" s="8"/>
      <c r="AI102" s="9"/>
      <c r="AN102" s="9"/>
      <c r="AP102" s="8"/>
      <c r="AQ102" s="10"/>
      <c r="AR102" s="10"/>
      <c r="AS102" s="8"/>
      <c r="AT102" s="8"/>
      <c r="AU102" s="8"/>
    </row>
    <row r="103" spans="17:47" x14ac:dyDescent="0.4">
      <c r="T103" s="5"/>
      <c r="U103" s="8"/>
      <c r="V103" s="8"/>
      <c r="X103" s="5"/>
      <c r="AB103" s="5"/>
      <c r="AC103" s="8"/>
      <c r="AD103" s="8"/>
      <c r="AE103" s="8"/>
      <c r="AF103" s="8"/>
      <c r="AI103" s="9"/>
      <c r="AN103" s="9"/>
      <c r="AP103" s="8"/>
      <c r="AQ103" s="10"/>
      <c r="AR103" s="10"/>
      <c r="AS103" s="8"/>
      <c r="AT103" s="8"/>
      <c r="AU103" s="8"/>
    </row>
    <row r="104" spans="17:47" x14ac:dyDescent="0.4">
      <c r="T104" s="5"/>
      <c r="U104" s="8"/>
      <c r="V104" s="8"/>
      <c r="X104" s="5"/>
      <c r="AB104" s="5"/>
      <c r="AC104" s="8"/>
      <c r="AD104" s="8"/>
      <c r="AE104" s="8"/>
      <c r="AF104" s="8"/>
      <c r="AI104" s="9"/>
      <c r="AN104" s="9"/>
      <c r="AP104" s="8"/>
      <c r="AQ104" s="10"/>
      <c r="AR104" s="10"/>
      <c r="AS104" s="8"/>
      <c r="AT104" s="8"/>
      <c r="AU104" s="8"/>
    </row>
    <row r="105" spans="17:47" x14ac:dyDescent="0.4">
      <c r="T105" s="5"/>
      <c r="U105" s="8"/>
      <c r="V105" s="8"/>
      <c r="X105" s="5"/>
      <c r="AB105" s="5"/>
      <c r="AC105" s="8"/>
      <c r="AD105" s="8"/>
      <c r="AE105" s="8"/>
      <c r="AF105" s="8"/>
      <c r="AI105" s="9"/>
      <c r="AN105" s="9"/>
      <c r="AP105" s="8"/>
      <c r="AQ105" s="10"/>
      <c r="AR105" s="10"/>
      <c r="AS105" s="8"/>
      <c r="AT105" s="8"/>
      <c r="AU105" s="8"/>
    </row>
    <row r="106" spans="17:47" x14ac:dyDescent="0.4">
      <c r="T106" s="5"/>
      <c r="U106" s="8"/>
      <c r="V106" s="8"/>
      <c r="X106" s="5"/>
      <c r="AB106" s="5"/>
      <c r="AC106" s="8"/>
      <c r="AD106" s="8"/>
      <c r="AE106" s="8"/>
      <c r="AF106" s="8"/>
      <c r="AI106" s="9"/>
      <c r="AN106" s="9"/>
      <c r="AP106" s="8"/>
      <c r="AQ106" s="10"/>
      <c r="AR106" s="10"/>
      <c r="AS106" s="8"/>
      <c r="AT106" s="8"/>
      <c r="AU106" s="8"/>
    </row>
    <row r="107" spans="17:47" x14ac:dyDescent="0.4">
      <c r="T107" s="5"/>
      <c r="U107" s="8"/>
      <c r="V107" s="8"/>
      <c r="X107" s="5"/>
      <c r="AB107" s="5"/>
      <c r="AC107" s="8"/>
      <c r="AD107" s="8"/>
      <c r="AE107" s="8"/>
      <c r="AF107" s="8"/>
      <c r="AI107" s="9"/>
      <c r="AN107" s="9"/>
      <c r="AP107" s="8"/>
      <c r="AQ107" s="10"/>
      <c r="AR107" s="10"/>
      <c r="AS107" s="8"/>
      <c r="AT107" s="8"/>
      <c r="AU107" s="8"/>
    </row>
    <row r="108" spans="17:47" x14ac:dyDescent="0.4">
      <c r="T108" s="5"/>
      <c r="U108" s="8"/>
      <c r="V108" s="8"/>
      <c r="X108" s="5"/>
      <c r="AB108" s="5"/>
      <c r="AC108" s="8"/>
      <c r="AD108" s="8"/>
      <c r="AE108" s="8"/>
      <c r="AF108" s="8"/>
      <c r="AI108" s="9"/>
      <c r="AN108" s="9"/>
      <c r="AP108" s="8"/>
      <c r="AQ108" s="10"/>
      <c r="AR108" s="10"/>
      <c r="AS108" s="8"/>
      <c r="AT108" s="8"/>
      <c r="AU108" s="8"/>
    </row>
    <row r="109" spans="17:47" x14ac:dyDescent="0.4">
      <c r="T109" s="5"/>
      <c r="U109" s="8"/>
      <c r="V109" s="8"/>
      <c r="X109" s="5"/>
      <c r="AB109" s="5"/>
      <c r="AC109" s="8"/>
      <c r="AD109" s="8"/>
      <c r="AE109" s="8"/>
      <c r="AF109" s="8"/>
      <c r="AI109" s="9"/>
      <c r="AN109" s="9"/>
      <c r="AP109" s="8"/>
      <c r="AQ109" s="10"/>
      <c r="AR109" s="10"/>
      <c r="AS109" s="8"/>
      <c r="AT109" s="8"/>
      <c r="AU109" s="8"/>
    </row>
    <row r="110" spans="17:47" x14ac:dyDescent="0.4">
      <c r="T110" s="5"/>
      <c r="U110" s="8"/>
      <c r="V110" s="8"/>
      <c r="X110" s="5"/>
      <c r="AB110" s="5"/>
      <c r="AC110" s="8"/>
      <c r="AD110" s="8"/>
      <c r="AE110" s="8"/>
      <c r="AF110" s="8"/>
      <c r="AI110" s="9"/>
      <c r="AN110" s="9"/>
      <c r="AP110" s="8"/>
      <c r="AQ110" s="10"/>
      <c r="AR110" s="10"/>
      <c r="AS110" s="8"/>
      <c r="AT110" s="8"/>
      <c r="AU110" s="8"/>
    </row>
    <row r="111" spans="17:47" x14ac:dyDescent="0.4">
      <c r="T111" s="5"/>
      <c r="U111" s="8"/>
      <c r="V111" s="8"/>
      <c r="X111" s="5"/>
      <c r="AB111" s="5"/>
      <c r="AC111" s="8"/>
      <c r="AD111" s="8"/>
      <c r="AE111" s="8"/>
      <c r="AF111" s="8"/>
      <c r="AI111" s="9"/>
      <c r="AN111" s="9"/>
      <c r="AP111" s="8"/>
      <c r="AQ111" s="10"/>
      <c r="AR111" s="10"/>
      <c r="AS111" s="8"/>
      <c r="AT111" s="8"/>
      <c r="AU111" s="8"/>
    </row>
    <row r="112" spans="17:47" x14ac:dyDescent="0.4">
      <c r="T112" s="5"/>
      <c r="U112" s="8"/>
      <c r="V112" s="8"/>
      <c r="X112" s="5"/>
      <c r="AB112" s="5"/>
      <c r="AC112" s="8"/>
      <c r="AD112" s="8"/>
      <c r="AE112" s="8"/>
      <c r="AF112" s="8"/>
      <c r="AI112" s="9"/>
      <c r="AN112" s="9"/>
      <c r="AP112" s="8"/>
      <c r="AQ112" s="10"/>
      <c r="AR112" s="10"/>
      <c r="AS112" s="8"/>
      <c r="AT112" s="8"/>
      <c r="AU112" s="8"/>
    </row>
    <row r="113" spans="20:47" x14ac:dyDescent="0.4">
      <c r="T113" s="5"/>
      <c r="U113" s="8"/>
      <c r="V113" s="8"/>
      <c r="X113" s="5"/>
      <c r="AB113" s="5"/>
      <c r="AC113" s="8"/>
      <c r="AD113" s="8"/>
      <c r="AE113" s="8"/>
      <c r="AF113" s="8"/>
      <c r="AI113" s="9"/>
      <c r="AN113" s="9"/>
      <c r="AP113" s="8"/>
      <c r="AQ113" s="10"/>
      <c r="AR113" s="10"/>
      <c r="AS113" s="8"/>
      <c r="AT113" s="8"/>
      <c r="AU113" s="8"/>
    </row>
    <row r="114" spans="20:47" x14ac:dyDescent="0.4">
      <c r="T114" s="5"/>
      <c r="U114" s="8"/>
      <c r="V114" s="8"/>
      <c r="X114" s="5"/>
      <c r="AB114" s="5"/>
      <c r="AC114" s="8"/>
      <c r="AD114" s="8"/>
      <c r="AE114" s="8"/>
      <c r="AF114" s="8"/>
      <c r="AI114" s="9"/>
      <c r="AN114" s="9"/>
      <c r="AP114" s="8"/>
      <c r="AQ114" s="10"/>
      <c r="AR114" s="10"/>
      <c r="AS114" s="8"/>
      <c r="AT114" s="8"/>
      <c r="AU114" s="8"/>
    </row>
    <row r="115" spans="20:47" x14ac:dyDescent="0.4">
      <c r="T115" s="5"/>
      <c r="U115" s="8"/>
      <c r="V115" s="8"/>
      <c r="X115" s="5"/>
      <c r="AB115" s="5"/>
      <c r="AC115" s="8"/>
      <c r="AD115" s="8"/>
      <c r="AE115" s="8"/>
      <c r="AF115" s="8"/>
      <c r="AI115" s="9"/>
      <c r="AN115" s="9"/>
      <c r="AP115" s="8"/>
      <c r="AQ115" s="10"/>
      <c r="AR115" s="10"/>
      <c r="AS115" s="8"/>
      <c r="AT115" s="8"/>
      <c r="AU115" s="8"/>
    </row>
    <row r="116" spans="20:47" x14ac:dyDescent="0.4">
      <c r="T116" s="5"/>
      <c r="U116" s="8"/>
      <c r="V116" s="8"/>
      <c r="X116" s="5"/>
      <c r="AB116" s="5"/>
      <c r="AC116" s="8"/>
      <c r="AD116" s="8"/>
      <c r="AE116" s="8"/>
      <c r="AF116" s="8"/>
      <c r="AI116" s="9"/>
      <c r="AN116" s="9"/>
      <c r="AP116" s="8"/>
      <c r="AQ116" s="10"/>
      <c r="AR116" s="10"/>
      <c r="AS116" s="8"/>
      <c r="AT116" s="8"/>
      <c r="AU116" s="8"/>
    </row>
    <row r="117" spans="20:47" x14ac:dyDescent="0.4">
      <c r="T117" s="5"/>
      <c r="U117" s="8"/>
      <c r="V117" s="8"/>
      <c r="X117" s="5"/>
      <c r="AB117" s="5"/>
      <c r="AC117" s="8"/>
      <c r="AD117" s="8"/>
      <c r="AE117" s="8"/>
      <c r="AF117" s="8"/>
      <c r="AI117" s="9"/>
      <c r="AN117" s="9"/>
      <c r="AP117" s="8"/>
      <c r="AQ117" s="10"/>
      <c r="AR117" s="10"/>
      <c r="AS117" s="8"/>
      <c r="AT117" s="8"/>
      <c r="AU117" s="8"/>
    </row>
    <row r="118" spans="20:47" x14ac:dyDescent="0.4">
      <c r="T118" s="5"/>
      <c r="U118" s="8"/>
      <c r="V118" s="8"/>
      <c r="X118" s="5"/>
      <c r="AB118" s="5"/>
      <c r="AC118" s="8"/>
      <c r="AD118" s="8"/>
      <c r="AE118" s="8"/>
      <c r="AF118" s="8"/>
      <c r="AI118" s="9"/>
      <c r="AN118" s="9"/>
      <c r="AP118" s="8"/>
      <c r="AQ118" s="10"/>
      <c r="AR118" s="10"/>
      <c r="AS118" s="8"/>
      <c r="AT118" s="8"/>
      <c r="AU118" s="8"/>
    </row>
    <row r="119" spans="20:47" x14ac:dyDescent="0.4">
      <c r="T119" s="5"/>
      <c r="U119" s="8"/>
      <c r="V119" s="8"/>
      <c r="X119" s="5"/>
      <c r="AB119" s="5"/>
      <c r="AC119" s="8"/>
      <c r="AD119" s="8"/>
      <c r="AE119" s="8"/>
      <c r="AF119" s="8"/>
      <c r="AI119" s="9"/>
      <c r="AN119" s="9"/>
      <c r="AP119" s="8"/>
      <c r="AQ119" s="10"/>
      <c r="AR119" s="10"/>
      <c r="AS119" s="8"/>
      <c r="AT119" s="8"/>
      <c r="AU119" s="8"/>
    </row>
    <row r="120" spans="20:47" x14ac:dyDescent="0.4">
      <c r="T120" s="5"/>
      <c r="U120" s="8"/>
      <c r="V120" s="8"/>
      <c r="X120" s="5"/>
      <c r="AB120" s="5"/>
      <c r="AC120" s="8"/>
      <c r="AD120" s="8"/>
      <c r="AE120" s="8"/>
      <c r="AF120" s="8"/>
      <c r="AI120" s="9"/>
      <c r="AN120" s="9"/>
      <c r="AP120" s="8"/>
      <c r="AQ120" s="10"/>
      <c r="AR120" s="10"/>
      <c r="AS120" s="8"/>
      <c r="AT120" s="8"/>
      <c r="AU120" s="8"/>
    </row>
    <row r="121" spans="20:47" x14ac:dyDescent="0.4">
      <c r="T121" s="5"/>
      <c r="U121" s="8"/>
      <c r="V121" s="8"/>
      <c r="X121" s="5"/>
      <c r="AB121" s="5"/>
      <c r="AC121" s="8"/>
      <c r="AD121" s="8"/>
      <c r="AE121" s="8"/>
      <c r="AF121" s="8"/>
      <c r="AI121" s="9"/>
      <c r="AN121" s="9"/>
      <c r="AP121" s="8"/>
      <c r="AQ121" s="10"/>
      <c r="AR121" s="10"/>
      <c r="AS121" s="8"/>
      <c r="AT121" s="8"/>
      <c r="AU121" s="8"/>
    </row>
    <row r="122" spans="20:47" x14ac:dyDescent="0.4">
      <c r="T122" s="5"/>
      <c r="U122" s="8"/>
      <c r="V122" s="8"/>
      <c r="X122" s="5"/>
      <c r="AB122" s="5"/>
      <c r="AC122" s="8"/>
      <c r="AD122" s="8"/>
      <c r="AE122" s="8"/>
      <c r="AF122" s="8"/>
      <c r="AI122" s="9"/>
      <c r="AN122" s="9"/>
      <c r="AP122" s="8"/>
      <c r="AQ122" s="10"/>
      <c r="AR122" s="10"/>
      <c r="AS122" s="8"/>
      <c r="AT122" s="8"/>
      <c r="AU122" s="8"/>
    </row>
    <row r="123" spans="20:47" x14ac:dyDescent="0.4">
      <c r="T123" s="5"/>
      <c r="U123" s="8"/>
      <c r="V123" s="8"/>
      <c r="X123" s="5"/>
      <c r="AB123" s="5"/>
      <c r="AC123" s="8"/>
      <c r="AD123" s="8"/>
      <c r="AE123" s="8"/>
      <c r="AF123" s="8"/>
      <c r="AI123" s="9"/>
      <c r="AN123" s="9"/>
      <c r="AP123" s="8"/>
      <c r="AQ123" s="10"/>
      <c r="AR123" s="10"/>
      <c r="AS123" s="8"/>
      <c r="AT123" s="8"/>
      <c r="AU123" s="8"/>
    </row>
    <row r="124" spans="20:47" x14ac:dyDescent="0.4">
      <c r="T124" s="5"/>
      <c r="U124" s="8"/>
      <c r="V124" s="8"/>
      <c r="X124" s="5"/>
      <c r="AB124" s="5"/>
      <c r="AC124" s="8"/>
      <c r="AD124" s="8"/>
      <c r="AE124" s="8"/>
      <c r="AF124" s="8"/>
      <c r="AI124" s="9"/>
      <c r="AN124" s="9"/>
      <c r="AP124" s="8"/>
      <c r="AQ124" s="10"/>
      <c r="AR124" s="10"/>
      <c r="AS124" s="8"/>
      <c r="AT124" s="8"/>
      <c r="AU124" s="8"/>
    </row>
    <row r="125" spans="20:47" x14ac:dyDescent="0.4">
      <c r="T125" s="5"/>
      <c r="U125" s="8"/>
      <c r="V125" s="8"/>
      <c r="X125" s="5"/>
      <c r="AB125" s="5"/>
      <c r="AC125" s="8"/>
      <c r="AD125" s="8"/>
      <c r="AE125" s="8"/>
      <c r="AF125" s="8"/>
      <c r="AI125" s="9"/>
      <c r="AN125" s="9"/>
      <c r="AP125" s="8"/>
      <c r="AQ125" s="10"/>
      <c r="AR125" s="10"/>
      <c r="AS125" s="8"/>
      <c r="AT125" s="8"/>
      <c r="AU125" s="8"/>
    </row>
    <row r="126" spans="20:47" x14ac:dyDescent="0.4">
      <c r="T126" s="5"/>
      <c r="U126" s="8"/>
      <c r="V126" s="8"/>
      <c r="X126" s="5"/>
      <c r="AB126" s="5"/>
      <c r="AC126" s="8"/>
      <c r="AD126" s="8"/>
      <c r="AE126" s="8"/>
      <c r="AF126" s="8"/>
      <c r="AI126" s="9"/>
      <c r="AN126" s="9"/>
      <c r="AP126" s="8"/>
      <c r="AQ126" s="10"/>
      <c r="AR126" s="10"/>
      <c r="AS126" s="8"/>
      <c r="AT126" s="8"/>
      <c r="AU126" s="8"/>
    </row>
    <row r="127" spans="20:47" x14ac:dyDescent="0.4">
      <c r="T127" s="5"/>
      <c r="U127" s="8"/>
      <c r="V127" s="8"/>
      <c r="X127" s="5"/>
      <c r="AB127" s="5"/>
      <c r="AC127" s="8"/>
      <c r="AD127" s="8"/>
      <c r="AE127" s="8"/>
      <c r="AF127" s="8"/>
      <c r="AI127" s="9"/>
      <c r="AN127" s="9"/>
      <c r="AP127" s="8"/>
      <c r="AQ127" s="10"/>
      <c r="AR127" s="10"/>
      <c r="AS127" s="8"/>
      <c r="AT127" s="8"/>
      <c r="AU127" s="8"/>
    </row>
    <row r="128" spans="20:47" x14ac:dyDescent="0.4">
      <c r="T128" s="5"/>
      <c r="U128" s="8"/>
      <c r="V128" s="8"/>
      <c r="X128" s="5"/>
      <c r="AB128" s="5"/>
      <c r="AC128" s="8"/>
      <c r="AD128" s="8"/>
      <c r="AE128" s="8"/>
      <c r="AF128" s="8"/>
      <c r="AI128" s="9"/>
      <c r="AN128" s="9"/>
      <c r="AP128" s="8"/>
      <c r="AQ128" s="10"/>
      <c r="AR128" s="10"/>
      <c r="AS128" s="8"/>
      <c r="AT128" s="8"/>
      <c r="AU128" s="8"/>
    </row>
    <row r="129" spans="20:47" x14ac:dyDescent="0.4">
      <c r="T129" s="5"/>
      <c r="U129" s="8"/>
      <c r="V129" s="8"/>
      <c r="X129" s="5"/>
      <c r="AB129" s="5"/>
      <c r="AC129" s="8"/>
      <c r="AD129" s="8"/>
      <c r="AE129" s="8"/>
      <c r="AF129" s="8"/>
      <c r="AI129" s="9"/>
      <c r="AN129" s="9"/>
      <c r="AP129" s="8"/>
      <c r="AQ129" s="10"/>
      <c r="AR129" s="10"/>
      <c r="AS129" s="8"/>
      <c r="AT129" s="8"/>
      <c r="AU129" s="8"/>
    </row>
    <row r="130" spans="20:47" x14ac:dyDescent="0.4">
      <c r="T130" s="5"/>
      <c r="U130" s="8"/>
      <c r="V130" s="8"/>
      <c r="X130" s="5"/>
      <c r="AB130" s="5"/>
      <c r="AC130" s="8"/>
      <c r="AD130" s="8"/>
      <c r="AE130" s="8"/>
      <c r="AF130" s="8"/>
      <c r="AI130" s="9"/>
      <c r="AN130" s="9"/>
      <c r="AP130" s="8"/>
      <c r="AQ130" s="10"/>
      <c r="AR130" s="10"/>
      <c r="AS130" s="8"/>
      <c r="AT130" s="8"/>
      <c r="AU130" s="8"/>
    </row>
    <row r="131" spans="20:47" x14ac:dyDescent="0.4">
      <c r="T131" s="5"/>
      <c r="U131" s="8"/>
      <c r="V131" s="8"/>
      <c r="X131" s="5"/>
      <c r="AB131" s="5"/>
      <c r="AC131" s="8"/>
      <c r="AD131" s="8"/>
      <c r="AE131" s="8"/>
      <c r="AF131" s="8"/>
      <c r="AI131" s="9"/>
      <c r="AN131" s="9"/>
      <c r="AP131" s="8"/>
      <c r="AQ131" s="10"/>
      <c r="AR131" s="10"/>
      <c r="AS131" s="8"/>
      <c r="AT131" s="8"/>
      <c r="AU131" s="8"/>
    </row>
    <row r="132" spans="20:47" x14ac:dyDescent="0.4">
      <c r="T132" s="5"/>
      <c r="U132" s="8"/>
      <c r="V132" s="8"/>
      <c r="X132" s="5"/>
      <c r="AB132" s="5"/>
      <c r="AC132" s="8"/>
      <c r="AD132" s="8"/>
      <c r="AE132" s="8"/>
      <c r="AF132" s="8"/>
      <c r="AI132" s="9"/>
      <c r="AN132" s="9"/>
      <c r="AP132" s="8"/>
      <c r="AQ132" s="10"/>
      <c r="AR132" s="10"/>
      <c r="AS132" s="8"/>
      <c r="AT132" s="8"/>
      <c r="AU132" s="8"/>
    </row>
    <row r="133" spans="20:47" x14ac:dyDescent="0.4">
      <c r="T133" s="5"/>
      <c r="U133" s="8"/>
      <c r="V133" s="8"/>
      <c r="X133" s="5"/>
      <c r="AB133" s="5"/>
      <c r="AC133" s="8"/>
      <c r="AD133" s="8"/>
      <c r="AE133" s="8"/>
      <c r="AF133" s="8"/>
      <c r="AI133" s="9"/>
      <c r="AN133" s="9"/>
      <c r="AP133" s="8"/>
      <c r="AQ133" s="10"/>
      <c r="AR133" s="10"/>
      <c r="AS133" s="8"/>
      <c r="AT133" s="8"/>
      <c r="AU133" s="8"/>
    </row>
    <row r="134" spans="20:47" x14ac:dyDescent="0.4">
      <c r="T134" s="5"/>
      <c r="U134" s="8"/>
      <c r="V134" s="8"/>
      <c r="X134" s="5"/>
      <c r="AB134" s="5"/>
      <c r="AC134" s="8"/>
      <c r="AD134" s="8"/>
      <c r="AE134" s="8"/>
      <c r="AF134" s="8"/>
      <c r="AI134" s="9"/>
      <c r="AN134" s="9"/>
      <c r="AP134" s="8"/>
      <c r="AQ134" s="10"/>
      <c r="AR134" s="10"/>
      <c r="AS134" s="8"/>
      <c r="AT134" s="8"/>
      <c r="AU134" s="8"/>
    </row>
    <row r="135" spans="20:47" x14ac:dyDescent="0.4">
      <c r="T135" s="5"/>
      <c r="U135" s="8"/>
      <c r="V135" s="8"/>
      <c r="X135" s="5"/>
      <c r="AB135" s="5"/>
      <c r="AC135" s="8"/>
      <c r="AD135" s="8"/>
      <c r="AE135" s="8"/>
      <c r="AF135" s="8"/>
      <c r="AI135" s="9"/>
      <c r="AN135" s="9"/>
      <c r="AP135" s="8"/>
      <c r="AQ135" s="10"/>
      <c r="AR135" s="10"/>
      <c r="AS135" s="8"/>
      <c r="AT135" s="8"/>
      <c r="AU135" s="8"/>
    </row>
    <row r="136" spans="20:47" x14ac:dyDescent="0.4">
      <c r="T136" s="5"/>
      <c r="U136" s="8"/>
      <c r="V136" s="8"/>
      <c r="X136" s="5"/>
      <c r="AB136" s="5"/>
      <c r="AC136" s="8"/>
      <c r="AD136" s="8"/>
      <c r="AE136" s="8"/>
      <c r="AF136" s="8"/>
      <c r="AI136" s="9"/>
      <c r="AN136" s="9"/>
      <c r="AP136" s="8"/>
      <c r="AQ136" s="10"/>
      <c r="AR136" s="10"/>
      <c r="AS136" s="8"/>
      <c r="AT136" s="8"/>
      <c r="AU136" s="8"/>
    </row>
    <row r="137" spans="20:47" x14ac:dyDescent="0.4">
      <c r="T137" s="5"/>
      <c r="U137" s="8"/>
      <c r="V137" s="8"/>
      <c r="X137" s="5"/>
      <c r="AB137" s="5"/>
      <c r="AC137" s="8"/>
      <c r="AD137" s="8"/>
      <c r="AE137" s="8"/>
      <c r="AF137" s="8"/>
      <c r="AI137" s="9"/>
      <c r="AN137" s="9"/>
      <c r="AP137" s="8"/>
      <c r="AQ137" s="10"/>
      <c r="AR137" s="10"/>
      <c r="AS137" s="8"/>
      <c r="AT137" s="8"/>
      <c r="AU137" s="8"/>
    </row>
    <row r="138" spans="20:47" x14ac:dyDescent="0.4">
      <c r="T138" s="5"/>
      <c r="U138" s="8"/>
      <c r="V138" s="8"/>
      <c r="X138" s="5"/>
      <c r="AB138" s="5"/>
      <c r="AC138" s="8"/>
      <c r="AD138" s="8"/>
      <c r="AE138" s="8"/>
      <c r="AF138" s="8"/>
      <c r="AI138" s="9"/>
      <c r="AN138" s="9"/>
      <c r="AP138" s="8"/>
      <c r="AQ138" s="10"/>
      <c r="AR138" s="10"/>
      <c r="AS138" s="8"/>
      <c r="AT138" s="8"/>
      <c r="AU138" s="8"/>
    </row>
    <row r="139" spans="20:47" x14ac:dyDescent="0.4">
      <c r="T139" s="5"/>
      <c r="U139" s="8"/>
      <c r="V139" s="8"/>
      <c r="X139" s="5"/>
      <c r="AB139" s="5"/>
      <c r="AC139" s="8"/>
      <c r="AD139" s="8"/>
      <c r="AE139" s="8"/>
      <c r="AF139" s="8"/>
      <c r="AI139" s="9"/>
      <c r="AN139" s="9"/>
      <c r="AP139" s="8"/>
      <c r="AQ139" s="10"/>
      <c r="AR139" s="10"/>
      <c r="AS139" s="8"/>
      <c r="AT139" s="8"/>
      <c r="AU139" s="8"/>
    </row>
    <row r="140" spans="20:47" x14ac:dyDescent="0.4">
      <c r="T140" s="5"/>
      <c r="U140" s="8"/>
      <c r="V140" s="8"/>
      <c r="X140" s="5"/>
      <c r="AB140" s="5"/>
      <c r="AC140" s="8"/>
      <c r="AD140" s="8"/>
      <c r="AE140" s="8"/>
      <c r="AF140" s="8"/>
      <c r="AI140" s="9"/>
      <c r="AN140" s="9"/>
      <c r="AP140" s="8"/>
      <c r="AQ140" s="10"/>
      <c r="AR140" s="10"/>
      <c r="AS140" s="8"/>
      <c r="AT140" s="8"/>
      <c r="AU140" s="8"/>
    </row>
    <row r="141" spans="20:47" x14ac:dyDescent="0.4">
      <c r="T141" s="5"/>
      <c r="U141" s="8"/>
      <c r="V141" s="8"/>
      <c r="X141" s="5"/>
      <c r="AB141" s="5"/>
      <c r="AC141" s="8"/>
      <c r="AD141" s="8"/>
      <c r="AE141" s="8"/>
      <c r="AF141" s="8"/>
      <c r="AI141" s="9"/>
      <c r="AN141" s="9"/>
      <c r="AP141" s="8"/>
      <c r="AQ141" s="10"/>
      <c r="AR141" s="10"/>
      <c r="AS141" s="8"/>
      <c r="AT141" s="8"/>
      <c r="AU141" s="8"/>
    </row>
    <row r="142" spans="20:47" x14ac:dyDescent="0.4">
      <c r="T142" s="5"/>
      <c r="U142" s="8"/>
      <c r="V142" s="8"/>
      <c r="X142" s="5"/>
      <c r="AB142" s="5"/>
      <c r="AC142" s="8"/>
      <c r="AD142" s="8"/>
      <c r="AE142" s="8"/>
      <c r="AF142" s="8"/>
      <c r="AI142" s="9"/>
      <c r="AN142" s="9"/>
      <c r="AP142" s="8"/>
      <c r="AQ142" s="10"/>
      <c r="AR142" s="10"/>
      <c r="AS142" s="8"/>
      <c r="AT142" s="8"/>
      <c r="AU142" s="8"/>
    </row>
    <row r="143" spans="20:47" x14ac:dyDescent="0.4">
      <c r="T143" s="5"/>
      <c r="U143" s="8"/>
      <c r="V143" s="8"/>
      <c r="X143" s="5"/>
      <c r="AB143" s="5"/>
      <c r="AC143" s="8"/>
      <c r="AD143" s="8"/>
      <c r="AE143" s="8"/>
      <c r="AF143" s="8"/>
      <c r="AI143" s="9"/>
      <c r="AN143" s="9"/>
      <c r="AP143" s="8"/>
      <c r="AQ143" s="10"/>
      <c r="AR143" s="10"/>
      <c r="AS143" s="8"/>
      <c r="AT143" s="8"/>
      <c r="AU143" s="8"/>
    </row>
    <row r="144" spans="20:47" x14ac:dyDescent="0.4">
      <c r="T144" s="5"/>
      <c r="U144" s="8"/>
      <c r="V144" s="8"/>
      <c r="X144" s="5"/>
      <c r="AB144" s="5"/>
      <c r="AC144" s="8"/>
      <c r="AD144" s="8"/>
      <c r="AE144" s="8"/>
      <c r="AF144" s="8"/>
      <c r="AI144" s="9"/>
      <c r="AN144" s="9"/>
      <c r="AP144" s="8"/>
      <c r="AQ144" s="10"/>
      <c r="AR144" s="10"/>
      <c r="AS144" s="8"/>
      <c r="AT144" s="8"/>
      <c r="AU144" s="8"/>
    </row>
    <row r="145" spans="20:47" x14ac:dyDescent="0.4">
      <c r="T145" s="5"/>
      <c r="U145" s="8"/>
      <c r="V145" s="8"/>
      <c r="X145" s="5"/>
      <c r="AB145" s="5"/>
      <c r="AC145" s="8"/>
      <c r="AD145" s="8"/>
      <c r="AE145" s="8"/>
      <c r="AF145" s="8"/>
      <c r="AI145" s="9"/>
      <c r="AN145" s="9"/>
      <c r="AP145" s="8"/>
      <c r="AQ145" s="10"/>
      <c r="AR145" s="10"/>
      <c r="AS145" s="8"/>
      <c r="AT145" s="8"/>
      <c r="AU145" s="8"/>
    </row>
    <row r="146" spans="20:47" x14ac:dyDescent="0.4">
      <c r="T146" s="5"/>
      <c r="U146" s="8"/>
      <c r="V146" s="8"/>
      <c r="X146" s="5"/>
      <c r="AB146" s="5"/>
      <c r="AC146" s="8"/>
      <c r="AD146" s="8"/>
      <c r="AE146" s="8"/>
      <c r="AF146" s="8"/>
      <c r="AI146" s="9"/>
      <c r="AN146" s="9"/>
      <c r="AP146" s="8"/>
      <c r="AQ146" s="10"/>
      <c r="AR146" s="10"/>
      <c r="AS146" s="8"/>
      <c r="AT146" s="8"/>
      <c r="AU146" s="8"/>
    </row>
    <row r="147" spans="20:47" x14ac:dyDescent="0.4">
      <c r="T147" s="5"/>
      <c r="U147" s="8"/>
      <c r="V147" s="8"/>
      <c r="X147" s="5"/>
      <c r="AB147" s="5"/>
      <c r="AC147" s="8"/>
      <c r="AD147" s="8"/>
      <c r="AE147" s="8"/>
      <c r="AF147" s="8"/>
      <c r="AI147" s="9"/>
      <c r="AN147" s="9"/>
      <c r="AP147" s="8"/>
      <c r="AQ147" s="10"/>
      <c r="AR147" s="10"/>
      <c r="AS147" s="8"/>
      <c r="AT147" s="8"/>
      <c r="AU147" s="8"/>
    </row>
    <row r="148" spans="20:47" x14ac:dyDescent="0.4">
      <c r="T148" s="5"/>
      <c r="U148" s="8"/>
      <c r="V148" s="8"/>
      <c r="X148" s="5"/>
      <c r="AB148" s="5"/>
      <c r="AC148" s="8"/>
      <c r="AD148" s="8"/>
      <c r="AE148" s="8"/>
      <c r="AF148" s="8"/>
      <c r="AI148" s="9"/>
      <c r="AN148" s="9"/>
      <c r="AP148" s="8"/>
      <c r="AQ148" s="10"/>
      <c r="AR148" s="10"/>
      <c r="AS148" s="8"/>
      <c r="AT148" s="8"/>
      <c r="AU148" s="8"/>
    </row>
    <row r="149" spans="20:47" x14ac:dyDescent="0.4">
      <c r="T149" s="5"/>
      <c r="U149" s="8"/>
      <c r="V149" s="8"/>
      <c r="X149" s="5"/>
      <c r="AB149" s="5"/>
      <c r="AC149" s="8"/>
      <c r="AD149" s="8"/>
      <c r="AE149" s="8"/>
      <c r="AF149" s="8"/>
      <c r="AI149" s="9"/>
      <c r="AN149" s="9"/>
      <c r="AP149" s="8"/>
      <c r="AQ149" s="10"/>
      <c r="AR149" s="10"/>
      <c r="AS149" s="8"/>
      <c r="AT149" s="8"/>
      <c r="AU149" s="8"/>
    </row>
    <row r="150" spans="20:47" x14ac:dyDescent="0.4">
      <c r="T150" s="5"/>
      <c r="U150" s="8"/>
      <c r="V150" s="8"/>
      <c r="X150" s="5"/>
      <c r="AB150" s="5"/>
      <c r="AC150" s="8"/>
      <c r="AD150" s="8"/>
      <c r="AE150" s="8"/>
      <c r="AF150" s="8"/>
      <c r="AI150" s="9"/>
      <c r="AN150" s="9"/>
      <c r="AP150" s="8"/>
      <c r="AQ150" s="10"/>
      <c r="AR150" s="10"/>
      <c r="AS150" s="8"/>
      <c r="AT150" s="8"/>
      <c r="AU150" s="8"/>
    </row>
    <row r="151" spans="20:47" x14ac:dyDescent="0.4">
      <c r="T151" s="5"/>
      <c r="U151" s="8"/>
      <c r="V151" s="8"/>
      <c r="X151" s="5"/>
      <c r="AB151" s="5"/>
      <c r="AC151" s="8"/>
      <c r="AD151" s="8"/>
      <c r="AE151" s="8"/>
      <c r="AF151" s="8"/>
      <c r="AI151" s="9"/>
      <c r="AN151" s="9"/>
      <c r="AP151" s="8"/>
      <c r="AQ151" s="10"/>
      <c r="AR151" s="10"/>
      <c r="AS151" s="8"/>
      <c r="AT151" s="8"/>
      <c r="AU151" s="8"/>
    </row>
    <row r="152" spans="20:47" x14ac:dyDescent="0.4">
      <c r="T152" s="5"/>
      <c r="U152" s="8"/>
      <c r="V152" s="8"/>
      <c r="X152" s="5"/>
      <c r="AB152" s="5"/>
      <c r="AC152" s="8"/>
      <c r="AD152" s="8"/>
      <c r="AE152" s="8"/>
      <c r="AF152" s="8"/>
      <c r="AI152" s="9"/>
      <c r="AN152" s="9"/>
      <c r="AP152" s="8"/>
      <c r="AQ152" s="10"/>
      <c r="AR152" s="10"/>
      <c r="AS152" s="8"/>
      <c r="AT152" s="8"/>
      <c r="AU152" s="8"/>
    </row>
    <row r="153" spans="20:47" x14ac:dyDescent="0.4">
      <c r="T153" s="5"/>
      <c r="U153" s="8"/>
      <c r="V153" s="8"/>
      <c r="X153" s="5"/>
      <c r="AB153" s="5"/>
      <c r="AC153" s="8"/>
      <c r="AD153" s="8"/>
      <c r="AE153" s="8"/>
      <c r="AF153" s="8"/>
      <c r="AI153" s="9"/>
      <c r="AN153" s="9"/>
      <c r="AP153" s="8"/>
      <c r="AQ153" s="10"/>
      <c r="AR153" s="10"/>
      <c r="AS153" s="8"/>
      <c r="AT153" s="8"/>
      <c r="AU153" s="8"/>
    </row>
    <row r="154" spans="20:47" x14ac:dyDescent="0.4">
      <c r="T154" s="5"/>
      <c r="U154" s="8"/>
      <c r="V154" s="8"/>
      <c r="X154" s="5"/>
      <c r="AB154" s="5"/>
      <c r="AC154" s="8"/>
      <c r="AD154" s="8"/>
      <c r="AE154" s="8"/>
      <c r="AF154" s="8"/>
      <c r="AI154" s="9"/>
      <c r="AN154" s="9"/>
      <c r="AP154" s="8"/>
      <c r="AQ154" s="10"/>
      <c r="AR154" s="10"/>
      <c r="AS154" s="8"/>
      <c r="AT154" s="8"/>
      <c r="AU154" s="8"/>
    </row>
    <row r="155" spans="20:47" x14ac:dyDescent="0.4">
      <c r="T155" s="5"/>
      <c r="U155" s="8"/>
      <c r="V155" s="8"/>
      <c r="X155" s="5"/>
      <c r="AB155" s="5"/>
      <c r="AC155" s="8"/>
      <c r="AD155" s="8"/>
      <c r="AE155" s="8"/>
      <c r="AF155" s="8"/>
      <c r="AI155" s="9"/>
      <c r="AN155" s="9"/>
      <c r="AP155" s="8"/>
      <c r="AQ155" s="10"/>
      <c r="AR155" s="10"/>
      <c r="AS155" s="8"/>
      <c r="AT155" s="8"/>
      <c r="AU155" s="8"/>
    </row>
    <row r="156" spans="20:47" x14ac:dyDescent="0.4">
      <c r="T156" s="5"/>
      <c r="U156" s="8"/>
      <c r="V156" s="8"/>
      <c r="X156" s="5"/>
      <c r="AB156" s="5"/>
      <c r="AC156" s="8"/>
      <c r="AD156" s="8"/>
      <c r="AE156" s="8"/>
      <c r="AF156" s="8"/>
      <c r="AI156" s="9"/>
      <c r="AN156" s="9"/>
      <c r="AP156" s="8"/>
      <c r="AQ156" s="10"/>
      <c r="AR156" s="10"/>
      <c r="AS156" s="8"/>
      <c r="AT156" s="8"/>
      <c r="AU156" s="8"/>
    </row>
    <row r="157" spans="20:47" x14ac:dyDescent="0.4">
      <c r="T157" s="5"/>
      <c r="U157" s="8"/>
      <c r="V157" s="8"/>
      <c r="X157" s="5"/>
      <c r="AB157" s="5"/>
      <c r="AC157" s="8"/>
      <c r="AD157" s="8"/>
      <c r="AE157" s="8"/>
      <c r="AF157" s="8"/>
      <c r="AI157" s="9"/>
      <c r="AN157" s="9"/>
      <c r="AP157" s="8"/>
      <c r="AQ157" s="10"/>
      <c r="AR157" s="10"/>
      <c r="AS157" s="8"/>
      <c r="AT157" s="8"/>
      <c r="AU157" s="8"/>
    </row>
    <row r="158" spans="20:47" x14ac:dyDescent="0.4">
      <c r="T158" s="5"/>
      <c r="U158" s="8"/>
      <c r="V158" s="8"/>
      <c r="X158" s="5"/>
      <c r="AB158" s="5"/>
      <c r="AC158" s="8"/>
      <c r="AD158" s="8"/>
      <c r="AE158" s="8"/>
      <c r="AF158" s="8"/>
      <c r="AI158" s="9"/>
      <c r="AN158" s="9"/>
      <c r="AP158" s="8"/>
      <c r="AQ158" s="10"/>
      <c r="AR158" s="10"/>
      <c r="AS158" s="8"/>
      <c r="AT158" s="8"/>
      <c r="AU158" s="8"/>
    </row>
    <row r="159" spans="20:47" x14ac:dyDescent="0.4">
      <c r="T159" s="5"/>
      <c r="U159" s="8"/>
      <c r="V159" s="8"/>
      <c r="X159" s="5"/>
      <c r="AB159" s="5"/>
      <c r="AC159" s="8"/>
      <c r="AD159" s="8"/>
      <c r="AE159" s="8"/>
      <c r="AF159" s="8"/>
      <c r="AI159" s="9"/>
      <c r="AN159" s="9"/>
      <c r="AP159" s="8"/>
      <c r="AQ159" s="10"/>
      <c r="AR159" s="10"/>
      <c r="AS159" s="8"/>
      <c r="AT159" s="8"/>
      <c r="AU159" s="8"/>
    </row>
    <row r="160" spans="20:47" x14ac:dyDescent="0.4">
      <c r="T160" s="5"/>
      <c r="U160" s="8"/>
      <c r="V160" s="8"/>
      <c r="X160" s="5"/>
      <c r="AB160" s="5"/>
      <c r="AC160" s="8"/>
      <c r="AD160" s="8"/>
      <c r="AE160" s="8"/>
      <c r="AF160" s="8"/>
      <c r="AI160" s="9"/>
      <c r="AN160" s="9"/>
      <c r="AP160" s="8"/>
      <c r="AQ160" s="10"/>
      <c r="AR160" s="10"/>
      <c r="AS160" s="8"/>
      <c r="AT160" s="8"/>
      <c r="AU160" s="8"/>
    </row>
    <row r="161" spans="20:47" x14ac:dyDescent="0.4">
      <c r="T161" s="5"/>
      <c r="U161" s="8"/>
      <c r="V161" s="8"/>
      <c r="X161" s="5"/>
      <c r="AB161" s="5"/>
      <c r="AC161" s="8"/>
      <c r="AD161" s="8"/>
      <c r="AE161" s="8"/>
      <c r="AF161" s="8"/>
      <c r="AI161" s="9"/>
      <c r="AN161" s="9"/>
      <c r="AP161" s="8"/>
      <c r="AQ161" s="10"/>
      <c r="AR161" s="10"/>
      <c r="AS161" s="8"/>
      <c r="AT161" s="8"/>
      <c r="AU161" s="8"/>
    </row>
    <row r="162" spans="20:47" x14ac:dyDescent="0.4">
      <c r="T162" s="5"/>
      <c r="U162" s="8"/>
      <c r="V162" s="8"/>
      <c r="X162" s="5"/>
      <c r="AB162" s="5"/>
      <c r="AC162" s="8"/>
      <c r="AD162" s="8"/>
      <c r="AE162" s="8"/>
      <c r="AF162" s="8"/>
      <c r="AI162" s="9"/>
      <c r="AN162" s="9"/>
      <c r="AP162" s="8"/>
      <c r="AQ162" s="10"/>
      <c r="AR162" s="10"/>
      <c r="AS162" s="8"/>
      <c r="AT162" s="8"/>
      <c r="AU162" s="8"/>
    </row>
    <row r="163" spans="20:47" x14ac:dyDescent="0.4">
      <c r="T163" s="5"/>
      <c r="U163" s="8"/>
      <c r="V163" s="8"/>
      <c r="X163" s="5"/>
      <c r="AB163" s="5"/>
      <c r="AC163" s="8"/>
      <c r="AD163" s="8"/>
      <c r="AE163" s="8"/>
      <c r="AF163" s="8"/>
      <c r="AI163" s="9"/>
      <c r="AN163" s="9"/>
      <c r="AP163" s="8"/>
      <c r="AQ163" s="10"/>
      <c r="AR163" s="10"/>
      <c r="AS163" s="8"/>
      <c r="AT163" s="8"/>
      <c r="AU163" s="8"/>
    </row>
    <row r="164" spans="20:47" x14ac:dyDescent="0.4">
      <c r="T164" s="5"/>
      <c r="U164" s="8"/>
      <c r="V164" s="8"/>
      <c r="X164" s="5"/>
      <c r="AB164" s="5"/>
      <c r="AC164" s="8"/>
      <c r="AD164" s="8"/>
      <c r="AE164" s="8"/>
      <c r="AF164" s="8"/>
      <c r="AI164" s="9"/>
      <c r="AN164" s="9"/>
      <c r="AP164" s="8"/>
      <c r="AQ164" s="10"/>
      <c r="AR164" s="10"/>
      <c r="AS164" s="8"/>
      <c r="AT164" s="8"/>
      <c r="AU164" s="8"/>
    </row>
    <row r="165" spans="20:47" x14ac:dyDescent="0.4">
      <c r="T165" s="5"/>
      <c r="U165" s="8"/>
      <c r="V165" s="8"/>
      <c r="X165" s="5"/>
      <c r="AB165" s="5"/>
      <c r="AC165" s="8"/>
      <c r="AD165" s="8"/>
      <c r="AE165" s="8"/>
      <c r="AF165" s="8"/>
      <c r="AI165" s="9"/>
      <c r="AN165" s="9"/>
      <c r="AP165" s="8"/>
      <c r="AQ165" s="10"/>
      <c r="AR165" s="10"/>
      <c r="AS165" s="8"/>
      <c r="AT165" s="8"/>
      <c r="AU165" s="8"/>
    </row>
    <row r="166" spans="20:47" x14ac:dyDescent="0.4">
      <c r="T166" s="5"/>
      <c r="U166" s="8"/>
      <c r="V166" s="8"/>
      <c r="X166" s="5"/>
      <c r="AB166" s="5"/>
      <c r="AC166" s="8"/>
      <c r="AD166" s="8"/>
      <c r="AE166" s="8"/>
      <c r="AF166" s="8"/>
      <c r="AI166" s="9"/>
      <c r="AN166" s="9"/>
      <c r="AP166" s="8"/>
      <c r="AQ166" s="10"/>
      <c r="AR166" s="10"/>
      <c r="AS166" s="8"/>
      <c r="AT166" s="8"/>
      <c r="AU166" s="8"/>
    </row>
    <row r="167" spans="20:47" x14ac:dyDescent="0.4">
      <c r="T167" s="5"/>
      <c r="U167" s="8"/>
      <c r="V167" s="8"/>
      <c r="X167" s="5"/>
      <c r="AB167" s="5"/>
      <c r="AC167" s="8"/>
      <c r="AD167" s="8"/>
      <c r="AE167" s="8"/>
      <c r="AF167" s="8"/>
      <c r="AI167" s="9"/>
      <c r="AN167" s="9"/>
      <c r="AP167" s="8"/>
      <c r="AQ167" s="10"/>
      <c r="AR167" s="10"/>
      <c r="AS167" s="8"/>
      <c r="AT167" s="8"/>
      <c r="AU167" s="8"/>
    </row>
    <row r="168" spans="20:47" x14ac:dyDescent="0.4">
      <c r="T168" s="5"/>
      <c r="U168" s="8"/>
      <c r="V168" s="8"/>
      <c r="X168" s="5"/>
      <c r="AB168" s="5"/>
      <c r="AC168" s="8"/>
      <c r="AD168" s="8"/>
      <c r="AE168" s="8"/>
      <c r="AF168" s="8"/>
      <c r="AI168" s="9"/>
      <c r="AN168" s="9"/>
      <c r="AP168" s="8"/>
      <c r="AQ168" s="10"/>
      <c r="AR168" s="10"/>
      <c r="AS168" s="8"/>
      <c r="AT168" s="8"/>
      <c r="AU168" s="8"/>
    </row>
    <row r="169" spans="20:47" x14ac:dyDescent="0.4">
      <c r="T169" s="5"/>
      <c r="U169" s="8"/>
      <c r="V169" s="8"/>
      <c r="X169" s="5"/>
      <c r="AB169" s="5"/>
      <c r="AC169" s="8"/>
      <c r="AD169" s="8"/>
      <c r="AE169" s="8"/>
      <c r="AF169" s="8"/>
      <c r="AI169" s="9"/>
      <c r="AN169" s="9"/>
      <c r="AP169" s="8"/>
      <c r="AQ169" s="10"/>
      <c r="AR169" s="10"/>
      <c r="AS169" s="8"/>
      <c r="AT169" s="8"/>
      <c r="AU169" s="8"/>
    </row>
    <row r="170" spans="20:47" x14ac:dyDescent="0.4">
      <c r="T170" s="5"/>
      <c r="U170" s="8"/>
      <c r="V170" s="8"/>
      <c r="X170" s="5"/>
      <c r="AB170" s="5"/>
      <c r="AC170" s="8"/>
      <c r="AD170" s="8"/>
      <c r="AE170" s="8"/>
      <c r="AF170" s="8"/>
      <c r="AI170" s="9"/>
      <c r="AN170" s="9"/>
      <c r="AP170" s="8"/>
      <c r="AQ170" s="10"/>
      <c r="AR170" s="10"/>
      <c r="AS170" s="8"/>
      <c r="AT170" s="8"/>
      <c r="AU170" s="8"/>
    </row>
    <row r="171" spans="20:47" x14ac:dyDescent="0.4">
      <c r="T171" s="5"/>
      <c r="U171" s="8"/>
      <c r="V171" s="8"/>
      <c r="X171" s="5"/>
      <c r="AB171" s="5"/>
      <c r="AC171" s="8"/>
      <c r="AD171" s="8"/>
      <c r="AE171" s="8"/>
      <c r="AF171" s="8"/>
      <c r="AI171" s="9"/>
      <c r="AN171" s="9"/>
      <c r="AP171" s="8"/>
      <c r="AQ171" s="10"/>
      <c r="AR171" s="10"/>
      <c r="AS171" s="8"/>
      <c r="AT171" s="8"/>
      <c r="AU171" s="8"/>
    </row>
    <row r="172" spans="20:47" x14ac:dyDescent="0.4">
      <c r="T172" s="5"/>
      <c r="U172" s="8"/>
      <c r="V172" s="8"/>
      <c r="X172" s="5"/>
      <c r="AB172" s="5"/>
      <c r="AC172" s="8"/>
      <c r="AD172" s="8"/>
      <c r="AE172" s="8"/>
      <c r="AF172" s="8"/>
      <c r="AI172" s="9"/>
      <c r="AN172" s="9"/>
      <c r="AP172" s="8"/>
      <c r="AQ172" s="10"/>
      <c r="AR172" s="10"/>
      <c r="AS172" s="8"/>
      <c r="AT172" s="8"/>
      <c r="AU172" s="8"/>
    </row>
    <row r="173" spans="20:47" x14ac:dyDescent="0.4">
      <c r="T173" s="5"/>
      <c r="U173" s="8"/>
      <c r="V173" s="8"/>
      <c r="X173" s="5"/>
      <c r="AB173" s="5"/>
      <c r="AC173" s="8"/>
      <c r="AD173" s="8"/>
      <c r="AE173" s="8"/>
      <c r="AF173" s="8"/>
      <c r="AI173" s="9"/>
      <c r="AN173" s="9"/>
      <c r="AP173" s="8"/>
      <c r="AQ173" s="10"/>
      <c r="AR173" s="10"/>
      <c r="AS173" s="8"/>
      <c r="AT173" s="8"/>
      <c r="AU173" s="8"/>
    </row>
    <row r="174" spans="20:47" x14ac:dyDescent="0.4">
      <c r="T174" s="5"/>
      <c r="U174" s="8"/>
      <c r="V174" s="8"/>
      <c r="X174" s="5"/>
      <c r="AB174" s="5"/>
      <c r="AC174" s="8"/>
      <c r="AD174" s="8"/>
      <c r="AE174" s="8"/>
      <c r="AF174" s="8"/>
      <c r="AI174" s="9"/>
      <c r="AN174" s="9"/>
      <c r="AP174" s="8"/>
      <c r="AQ174" s="10"/>
      <c r="AR174" s="10"/>
      <c r="AS174" s="8"/>
      <c r="AT174" s="8"/>
      <c r="AU174" s="8"/>
    </row>
    <row r="175" spans="20:47" x14ac:dyDescent="0.4">
      <c r="T175" s="5"/>
      <c r="U175" s="8"/>
      <c r="V175" s="8"/>
      <c r="X175" s="5"/>
      <c r="AB175" s="5"/>
      <c r="AC175" s="8"/>
      <c r="AD175" s="8"/>
      <c r="AE175" s="8"/>
      <c r="AF175" s="8"/>
      <c r="AI175" s="9"/>
      <c r="AN175" s="9"/>
      <c r="AP175" s="8"/>
      <c r="AQ175" s="10"/>
      <c r="AR175" s="10"/>
      <c r="AS175" s="8"/>
      <c r="AT175" s="8"/>
      <c r="AU175" s="8"/>
    </row>
    <row r="176" spans="20:47" x14ac:dyDescent="0.4">
      <c r="T176" s="5"/>
      <c r="U176" s="8"/>
      <c r="V176" s="8"/>
      <c r="X176" s="5"/>
      <c r="AB176" s="5"/>
      <c r="AC176" s="8"/>
      <c r="AD176" s="8"/>
      <c r="AE176" s="8"/>
      <c r="AF176" s="8"/>
      <c r="AI176" s="9"/>
      <c r="AN176" s="9"/>
      <c r="AP176" s="8"/>
      <c r="AQ176" s="10"/>
      <c r="AR176" s="10"/>
      <c r="AS176" s="8"/>
      <c r="AT176" s="8"/>
      <c r="AU176" s="8"/>
    </row>
    <row r="177" spans="20:47" x14ac:dyDescent="0.4">
      <c r="T177" s="5"/>
      <c r="U177" s="8"/>
      <c r="V177" s="8"/>
      <c r="X177" s="5"/>
      <c r="AB177" s="5"/>
      <c r="AC177" s="8"/>
      <c r="AD177" s="8"/>
      <c r="AE177" s="8"/>
      <c r="AF177" s="8"/>
      <c r="AI177" s="9"/>
      <c r="AN177" s="9"/>
      <c r="AP177" s="8"/>
      <c r="AQ177" s="10"/>
      <c r="AR177" s="10"/>
      <c r="AS177" s="8"/>
      <c r="AT177" s="8"/>
      <c r="AU177" s="8"/>
    </row>
    <row r="178" spans="20:47" x14ac:dyDescent="0.4">
      <c r="T178" s="5"/>
      <c r="U178" s="8"/>
      <c r="V178" s="8"/>
      <c r="X178" s="5"/>
      <c r="AB178" s="5"/>
      <c r="AC178" s="8"/>
      <c r="AD178" s="8"/>
      <c r="AE178" s="8"/>
      <c r="AF178" s="8"/>
      <c r="AI178" s="9"/>
      <c r="AN178" s="9"/>
      <c r="AP178" s="8"/>
      <c r="AQ178" s="10"/>
      <c r="AR178" s="10"/>
      <c r="AS178" s="8"/>
      <c r="AT178" s="8"/>
      <c r="AU178" s="8"/>
    </row>
    <row r="179" spans="20:47" x14ac:dyDescent="0.4">
      <c r="T179" s="5"/>
      <c r="U179" s="8"/>
      <c r="V179" s="8"/>
      <c r="X179" s="5"/>
      <c r="AB179" s="5"/>
      <c r="AC179" s="8"/>
      <c r="AD179" s="8"/>
      <c r="AE179" s="8"/>
      <c r="AF179" s="8"/>
      <c r="AI179" s="9"/>
      <c r="AN179" s="9"/>
      <c r="AP179" s="8"/>
      <c r="AQ179" s="10"/>
      <c r="AR179" s="10"/>
      <c r="AS179" s="8"/>
      <c r="AT179" s="8"/>
      <c r="AU179" s="8"/>
    </row>
    <row r="180" spans="20:47" x14ac:dyDescent="0.4">
      <c r="T180" s="5"/>
      <c r="U180" s="8"/>
      <c r="V180" s="8"/>
      <c r="X180" s="5"/>
      <c r="AB180" s="5"/>
      <c r="AC180" s="8"/>
      <c r="AD180" s="8"/>
      <c r="AE180" s="8"/>
      <c r="AF180" s="8"/>
      <c r="AI180" s="9"/>
      <c r="AN180" s="9"/>
      <c r="AP180" s="8"/>
      <c r="AQ180" s="10"/>
      <c r="AR180" s="10"/>
      <c r="AS180" s="8"/>
      <c r="AT180" s="8"/>
      <c r="AU180" s="8"/>
    </row>
    <row r="181" spans="20:47" x14ac:dyDescent="0.4">
      <c r="T181" s="5"/>
      <c r="U181" s="8"/>
      <c r="V181" s="8"/>
      <c r="X181" s="5"/>
      <c r="AB181" s="5"/>
      <c r="AC181" s="8"/>
      <c r="AD181" s="8"/>
      <c r="AE181" s="8"/>
      <c r="AF181" s="8"/>
      <c r="AI181" s="9"/>
      <c r="AN181" s="9"/>
      <c r="AP181" s="8"/>
      <c r="AQ181" s="10"/>
      <c r="AR181" s="10"/>
      <c r="AS181" s="8"/>
      <c r="AT181" s="8"/>
      <c r="AU181" s="8"/>
    </row>
    <row r="182" spans="20:47" x14ac:dyDescent="0.4">
      <c r="T182" s="5"/>
      <c r="U182" s="8"/>
      <c r="V182" s="8"/>
      <c r="X182" s="5"/>
      <c r="AB182" s="5"/>
      <c r="AC182" s="8"/>
      <c r="AD182" s="8"/>
      <c r="AE182" s="8"/>
      <c r="AF182" s="8"/>
      <c r="AI182" s="9"/>
      <c r="AN182" s="9"/>
      <c r="AP182" s="8"/>
      <c r="AQ182" s="10"/>
      <c r="AR182" s="10"/>
      <c r="AS182" s="8"/>
      <c r="AT182" s="8"/>
      <c r="AU182" s="8"/>
    </row>
    <row r="183" spans="20:47" x14ac:dyDescent="0.4">
      <c r="T183" s="5"/>
      <c r="U183" s="8"/>
      <c r="V183" s="8"/>
      <c r="X183" s="5"/>
      <c r="AB183" s="5"/>
      <c r="AC183" s="8"/>
      <c r="AD183" s="8"/>
      <c r="AE183" s="8"/>
      <c r="AF183" s="8"/>
      <c r="AI183" s="9"/>
      <c r="AN183" s="9"/>
      <c r="AP183" s="8"/>
      <c r="AQ183" s="10"/>
      <c r="AR183" s="10"/>
      <c r="AS183" s="8"/>
      <c r="AT183" s="8"/>
      <c r="AU183" s="8"/>
    </row>
    <row r="184" spans="20:47" x14ac:dyDescent="0.4">
      <c r="T184" s="5"/>
      <c r="U184" s="8"/>
      <c r="V184" s="8"/>
      <c r="X184" s="5"/>
      <c r="AB184" s="5"/>
      <c r="AC184" s="8"/>
      <c r="AD184" s="8"/>
      <c r="AE184" s="8"/>
      <c r="AF184" s="8"/>
      <c r="AI184" s="9"/>
      <c r="AN184" s="9"/>
      <c r="AP184" s="8"/>
      <c r="AQ184" s="10"/>
      <c r="AR184" s="10"/>
      <c r="AS184" s="8"/>
      <c r="AT184" s="8"/>
      <c r="AU184" s="8"/>
    </row>
    <row r="185" spans="20:47" x14ac:dyDescent="0.4">
      <c r="T185" s="5"/>
      <c r="U185" s="8"/>
      <c r="V185" s="8"/>
      <c r="X185" s="5"/>
      <c r="AB185" s="5"/>
      <c r="AC185" s="8"/>
      <c r="AD185" s="8"/>
      <c r="AE185" s="8"/>
      <c r="AF185" s="8"/>
      <c r="AI185" s="9"/>
      <c r="AN185" s="9"/>
      <c r="AP185" s="8"/>
      <c r="AQ185" s="10"/>
      <c r="AR185" s="10"/>
      <c r="AS185" s="8"/>
      <c r="AT185" s="8"/>
      <c r="AU185" s="8"/>
    </row>
    <row r="186" spans="20:47" x14ac:dyDescent="0.4">
      <c r="T186" s="5"/>
      <c r="U186" s="8"/>
      <c r="V186" s="8"/>
      <c r="X186" s="5"/>
      <c r="AB186" s="5"/>
      <c r="AC186" s="8"/>
      <c r="AD186" s="8"/>
      <c r="AE186" s="8"/>
      <c r="AF186" s="8"/>
      <c r="AI186" s="9"/>
      <c r="AN186" s="9"/>
      <c r="AP186" s="8"/>
      <c r="AQ186" s="10"/>
      <c r="AR186" s="10"/>
      <c r="AS186" s="8"/>
      <c r="AT186" s="8"/>
      <c r="AU186" s="8"/>
    </row>
    <row r="187" spans="20:47" x14ac:dyDescent="0.4">
      <c r="T187" s="5"/>
      <c r="U187" s="8"/>
      <c r="V187" s="8"/>
      <c r="X187" s="5"/>
      <c r="AB187" s="5"/>
      <c r="AC187" s="8"/>
      <c r="AD187" s="8"/>
      <c r="AE187" s="8"/>
      <c r="AF187" s="8"/>
      <c r="AI187" s="9"/>
      <c r="AN187" s="9"/>
      <c r="AP187" s="8"/>
      <c r="AQ187" s="10"/>
      <c r="AR187" s="10"/>
      <c r="AS187" s="8"/>
      <c r="AT187" s="8"/>
      <c r="AU187" s="8"/>
    </row>
    <row r="188" spans="20:47" x14ac:dyDescent="0.4">
      <c r="T188" s="5"/>
      <c r="U188" s="8"/>
      <c r="V188" s="8"/>
      <c r="X188" s="5"/>
      <c r="AB188" s="5"/>
      <c r="AC188" s="8"/>
      <c r="AD188" s="8"/>
      <c r="AE188" s="8"/>
      <c r="AF188" s="8"/>
      <c r="AI188" s="9"/>
      <c r="AN188" s="9"/>
      <c r="AP188" s="8"/>
      <c r="AQ188" s="10"/>
      <c r="AR188" s="10"/>
      <c r="AS188" s="8"/>
      <c r="AT188" s="8"/>
      <c r="AU188" s="8"/>
    </row>
    <row r="189" spans="20:47" x14ac:dyDescent="0.4">
      <c r="T189" s="5"/>
      <c r="U189" s="8"/>
      <c r="V189" s="8"/>
      <c r="X189" s="5"/>
      <c r="AB189" s="5"/>
      <c r="AC189" s="8"/>
      <c r="AD189" s="8"/>
      <c r="AE189" s="8"/>
      <c r="AF189" s="8"/>
      <c r="AI189" s="9"/>
      <c r="AN189" s="9"/>
      <c r="AP189" s="8"/>
      <c r="AQ189" s="10"/>
      <c r="AR189" s="10"/>
      <c r="AS189" s="8"/>
      <c r="AT189" s="8"/>
      <c r="AU189" s="8"/>
    </row>
    <row r="190" spans="20:47" x14ac:dyDescent="0.4">
      <c r="T190" s="5"/>
      <c r="U190" s="8"/>
      <c r="V190" s="8"/>
      <c r="X190" s="5"/>
      <c r="AB190" s="5"/>
      <c r="AC190" s="8"/>
      <c r="AD190" s="8"/>
      <c r="AE190" s="8"/>
      <c r="AF190" s="8"/>
      <c r="AI190" s="9"/>
      <c r="AN190" s="9"/>
      <c r="AP190" s="8"/>
      <c r="AQ190" s="10"/>
      <c r="AR190" s="10"/>
      <c r="AS190" s="8"/>
      <c r="AT190" s="8"/>
      <c r="AU190" s="8"/>
    </row>
    <row r="191" spans="20:47" x14ac:dyDescent="0.4">
      <c r="T191" s="5"/>
      <c r="U191" s="8"/>
      <c r="V191" s="8"/>
      <c r="X191" s="5"/>
      <c r="AB191" s="5"/>
      <c r="AC191" s="8"/>
      <c r="AD191" s="8"/>
      <c r="AE191" s="8"/>
      <c r="AF191" s="8"/>
      <c r="AI191" s="9"/>
      <c r="AN191" s="9"/>
      <c r="AP191" s="8"/>
      <c r="AQ191" s="10"/>
      <c r="AR191" s="10"/>
      <c r="AS191" s="8"/>
      <c r="AT191" s="8"/>
      <c r="AU191" s="8"/>
    </row>
    <row r="192" spans="20:47" x14ac:dyDescent="0.4">
      <c r="T192" s="5"/>
      <c r="U192" s="8"/>
      <c r="V192" s="8"/>
      <c r="X192" s="5"/>
      <c r="AB192" s="5"/>
      <c r="AC192" s="8"/>
      <c r="AD192" s="8"/>
      <c r="AE192" s="8"/>
      <c r="AF192" s="8"/>
      <c r="AI192" s="9"/>
      <c r="AN192" s="9"/>
      <c r="AP192" s="8"/>
      <c r="AQ192" s="10"/>
      <c r="AR192" s="10"/>
      <c r="AS192" s="8"/>
      <c r="AT192" s="8"/>
      <c r="AU192" s="8"/>
    </row>
    <row r="193" spans="20:47" x14ac:dyDescent="0.4">
      <c r="T193" s="5"/>
      <c r="U193" s="8"/>
      <c r="V193" s="8"/>
      <c r="X193" s="5"/>
      <c r="AB193" s="5"/>
      <c r="AC193" s="8"/>
      <c r="AD193" s="8"/>
      <c r="AE193" s="8"/>
      <c r="AF193" s="8"/>
      <c r="AI193" s="9"/>
      <c r="AN193" s="9"/>
      <c r="AP193" s="8"/>
      <c r="AQ193" s="10"/>
      <c r="AR193" s="10"/>
      <c r="AS193" s="8"/>
      <c r="AT193" s="8"/>
      <c r="AU193" s="8"/>
    </row>
    <row r="194" spans="20:47" x14ac:dyDescent="0.4">
      <c r="T194" s="5"/>
      <c r="U194" s="8"/>
      <c r="V194" s="8"/>
      <c r="X194" s="5"/>
      <c r="AB194" s="5"/>
      <c r="AC194" s="8"/>
      <c r="AD194" s="8"/>
      <c r="AE194" s="8"/>
      <c r="AF194" s="8"/>
      <c r="AI194" s="9"/>
      <c r="AN194" s="9"/>
      <c r="AP194" s="8"/>
      <c r="AQ194" s="10"/>
      <c r="AR194" s="10"/>
      <c r="AS194" s="8"/>
      <c r="AT194" s="8"/>
      <c r="AU194" s="8"/>
    </row>
    <row r="195" spans="20:47" x14ac:dyDescent="0.4">
      <c r="T195" s="5"/>
      <c r="U195" s="8"/>
      <c r="V195" s="8"/>
      <c r="X195" s="5"/>
      <c r="AB195" s="5"/>
      <c r="AC195" s="8"/>
      <c r="AD195" s="8"/>
      <c r="AE195" s="8"/>
      <c r="AF195" s="8"/>
      <c r="AI195" s="9"/>
      <c r="AN195" s="9"/>
      <c r="AP195" s="8"/>
      <c r="AQ195" s="10"/>
      <c r="AR195" s="10"/>
      <c r="AS195" s="8"/>
      <c r="AT195" s="8"/>
      <c r="AU195" s="8"/>
    </row>
    <row r="196" spans="20:47" x14ac:dyDescent="0.4">
      <c r="T196" s="5"/>
      <c r="U196" s="8"/>
      <c r="V196" s="8"/>
      <c r="X196" s="5"/>
      <c r="AB196" s="5"/>
      <c r="AC196" s="8"/>
      <c r="AD196" s="8"/>
      <c r="AE196" s="8"/>
      <c r="AF196" s="8"/>
      <c r="AI196" s="9"/>
      <c r="AN196" s="9"/>
      <c r="AP196" s="8"/>
      <c r="AQ196" s="10"/>
      <c r="AR196" s="10"/>
      <c r="AS196" s="8"/>
      <c r="AT196" s="8"/>
      <c r="AU196" s="8"/>
    </row>
    <row r="197" spans="20:47" x14ac:dyDescent="0.4">
      <c r="T197" s="5"/>
      <c r="U197" s="8"/>
      <c r="V197" s="8"/>
      <c r="X197" s="5"/>
      <c r="AB197" s="5"/>
      <c r="AC197" s="8"/>
      <c r="AD197" s="8"/>
      <c r="AE197" s="8"/>
      <c r="AF197" s="8"/>
      <c r="AI197" s="9"/>
      <c r="AN197" s="9"/>
      <c r="AP197" s="8"/>
      <c r="AQ197" s="10"/>
      <c r="AR197" s="10"/>
      <c r="AS197" s="8"/>
      <c r="AT197" s="8"/>
      <c r="AU197" s="8"/>
    </row>
    <row r="198" spans="20:47" x14ac:dyDescent="0.4">
      <c r="T198" s="5"/>
      <c r="U198" s="8"/>
      <c r="V198" s="8"/>
      <c r="X198" s="5"/>
      <c r="AB198" s="5"/>
      <c r="AC198" s="8"/>
      <c r="AD198" s="8"/>
      <c r="AE198" s="8"/>
      <c r="AF198" s="8"/>
      <c r="AI198" s="9"/>
      <c r="AN198" s="9"/>
      <c r="AP198" s="8"/>
      <c r="AQ198" s="10"/>
      <c r="AR198" s="10"/>
      <c r="AS198" s="8"/>
      <c r="AT198" s="8"/>
      <c r="AU198" s="8"/>
    </row>
    <row r="199" spans="20:47" x14ac:dyDescent="0.4">
      <c r="T199" s="5"/>
      <c r="U199" s="8"/>
      <c r="V199" s="8"/>
      <c r="X199" s="5"/>
      <c r="AB199" s="5"/>
      <c r="AC199" s="8"/>
      <c r="AD199" s="8"/>
      <c r="AE199" s="8"/>
      <c r="AF199" s="8"/>
      <c r="AI199" s="9"/>
      <c r="AN199" s="9"/>
      <c r="AP199" s="8"/>
      <c r="AQ199" s="10"/>
      <c r="AR199" s="10"/>
      <c r="AS199" s="8"/>
      <c r="AT199" s="8"/>
      <c r="AU199" s="8"/>
    </row>
    <row r="200" spans="20:47" x14ac:dyDescent="0.4">
      <c r="T200" s="5"/>
      <c r="U200" s="8"/>
      <c r="V200" s="8"/>
      <c r="X200" s="5"/>
      <c r="AB200" s="5"/>
      <c r="AC200" s="8"/>
      <c r="AD200" s="8"/>
      <c r="AE200" s="8"/>
      <c r="AF200" s="8"/>
      <c r="AI200" s="9"/>
      <c r="AN200" s="9"/>
      <c r="AP200" s="8"/>
      <c r="AQ200" s="10"/>
      <c r="AR200" s="10"/>
      <c r="AS200" s="8"/>
      <c r="AT200" s="8"/>
      <c r="AU200" s="8"/>
    </row>
    <row r="201" spans="20:47" x14ac:dyDescent="0.4">
      <c r="T201" s="5"/>
      <c r="U201" s="8"/>
      <c r="V201" s="8"/>
      <c r="X201" s="5"/>
      <c r="AB201" s="5"/>
      <c r="AC201" s="8"/>
      <c r="AD201" s="8"/>
      <c r="AE201" s="8"/>
      <c r="AF201" s="8"/>
      <c r="AI201" s="9"/>
      <c r="AN201" s="9"/>
      <c r="AP201" s="8"/>
      <c r="AQ201" s="10"/>
      <c r="AR201" s="10"/>
      <c r="AS201" s="8"/>
      <c r="AT201" s="8"/>
      <c r="AU201" s="8"/>
    </row>
    <row r="202" spans="20:47" x14ac:dyDescent="0.4">
      <c r="T202" s="5"/>
      <c r="U202" s="8"/>
      <c r="V202" s="8"/>
      <c r="X202" s="5"/>
      <c r="AB202" s="5"/>
      <c r="AC202" s="8"/>
      <c r="AD202" s="8"/>
      <c r="AE202" s="8"/>
      <c r="AF202" s="8"/>
      <c r="AI202" s="9"/>
      <c r="AN202" s="9"/>
      <c r="AP202" s="8"/>
      <c r="AQ202" s="10"/>
      <c r="AR202" s="10"/>
      <c r="AS202" s="8"/>
      <c r="AT202" s="8"/>
      <c r="AU202" s="8"/>
    </row>
    <row r="203" spans="20:47" x14ac:dyDescent="0.4">
      <c r="T203" s="5"/>
      <c r="U203" s="8"/>
      <c r="V203" s="8"/>
      <c r="X203" s="5"/>
      <c r="AB203" s="5"/>
      <c r="AC203" s="8"/>
      <c r="AD203" s="8"/>
      <c r="AE203" s="8"/>
      <c r="AF203" s="8"/>
      <c r="AI203" s="9"/>
      <c r="AN203" s="9"/>
      <c r="AP203" s="8"/>
      <c r="AQ203" s="10"/>
      <c r="AR203" s="10"/>
      <c r="AS203" s="8"/>
      <c r="AT203" s="8"/>
      <c r="AU203" s="8"/>
    </row>
    <row r="204" spans="20:47" x14ac:dyDescent="0.4">
      <c r="T204" s="5"/>
      <c r="U204" s="8"/>
      <c r="V204" s="8"/>
      <c r="X204" s="5"/>
      <c r="AB204" s="5"/>
      <c r="AC204" s="8"/>
      <c r="AD204" s="8"/>
      <c r="AE204" s="8"/>
      <c r="AF204" s="8"/>
      <c r="AI204" s="9"/>
      <c r="AN204" s="9"/>
      <c r="AP204" s="8"/>
      <c r="AQ204" s="10"/>
      <c r="AR204" s="10"/>
      <c r="AS204" s="8"/>
      <c r="AT204" s="8"/>
      <c r="AU204" s="8"/>
    </row>
    <row r="205" spans="20:47" x14ac:dyDescent="0.4">
      <c r="T205" s="5"/>
      <c r="U205" s="8"/>
      <c r="V205" s="8"/>
      <c r="X205" s="5"/>
      <c r="AB205" s="5"/>
      <c r="AC205" s="8"/>
      <c r="AD205" s="8"/>
      <c r="AE205" s="8"/>
      <c r="AF205" s="8"/>
      <c r="AI205" s="9"/>
      <c r="AN205" s="9"/>
      <c r="AP205" s="8"/>
      <c r="AQ205" s="10"/>
      <c r="AR205" s="10"/>
      <c r="AS205" s="8"/>
      <c r="AT205" s="8"/>
      <c r="AU205" s="8"/>
    </row>
    <row r="206" spans="20:47" x14ac:dyDescent="0.4">
      <c r="T206" s="5"/>
      <c r="U206" s="8"/>
      <c r="V206" s="8"/>
      <c r="X206" s="5"/>
      <c r="AB206" s="5"/>
      <c r="AC206" s="8"/>
      <c r="AD206" s="8"/>
      <c r="AE206" s="8"/>
      <c r="AF206" s="8"/>
      <c r="AI206" s="9"/>
      <c r="AN206" s="9"/>
      <c r="AP206" s="8"/>
      <c r="AQ206" s="10"/>
      <c r="AR206" s="10"/>
      <c r="AS206" s="8"/>
      <c r="AT206" s="8"/>
      <c r="AU206" s="8"/>
    </row>
    <row r="207" spans="20:47" x14ac:dyDescent="0.4">
      <c r="T207" s="5"/>
      <c r="U207" s="8"/>
      <c r="V207" s="8"/>
      <c r="X207" s="5"/>
      <c r="AB207" s="5"/>
      <c r="AC207" s="8"/>
      <c r="AD207" s="8"/>
      <c r="AE207" s="8"/>
      <c r="AF207" s="8"/>
      <c r="AI207" s="9"/>
      <c r="AN207" s="9"/>
      <c r="AP207" s="8"/>
      <c r="AQ207" s="10"/>
      <c r="AR207" s="10"/>
      <c r="AS207" s="8"/>
      <c r="AT207" s="8"/>
      <c r="AU207" s="8"/>
    </row>
    <row r="208" spans="20:47" x14ac:dyDescent="0.4">
      <c r="T208" s="5"/>
      <c r="U208" s="8"/>
      <c r="V208" s="8"/>
      <c r="X208" s="5"/>
      <c r="AB208" s="5"/>
      <c r="AC208" s="8"/>
      <c r="AD208" s="8"/>
      <c r="AE208" s="8"/>
      <c r="AF208" s="8"/>
      <c r="AI208" s="9"/>
      <c r="AN208" s="9"/>
      <c r="AP208" s="8"/>
      <c r="AQ208" s="10"/>
      <c r="AR208" s="10"/>
      <c r="AS208" s="8"/>
      <c r="AT208" s="8"/>
      <c r="AU208" s="8"/>
    </row>
    <row r="209" spans="20:47" x14ac:dyDescent="0.4">
      <c r="T209" s="5"/>
      <c r="U209" s="8"/>
      <c r="V209" s="8"/>
      <c r="X209" s="5"/>
      <c r="AB209" s="5"/>
      <c r="AC209" s="8"/>
      <c r="AD209" s="8"/>
      <c r="AE209" s="8"/>
      <c r="AF209" s="8"/>
      <c r="AI209" s="9"/>
      <c r="AN209" s="9"/>
      <c r="AP209" s="8"/>
      <c r="AQ209" s="10"/>
      <c r="AR209" s="10"/>
      <c r="AS209" s="8"/>
      <c r="AT209" s="8"/>
      <c r="AU209" s="8"/>
    </row>
    <row r="210" spans="20:47" x14ac:dyDescent="0.4">
      <c r="T210" s="5"/>
      <c r="U210" s="8"/>
      <c r="V210" s="8"/>
      <c r="X210" s="5"/>
      <c r="AB210" s="5"/>
      <c r="AC210" s="8"/>
      <c r="AD210" s="8"/>
      <c r="AE210" s="8"/>
      <c r="AF210" s="8"/>
      <c r="AI210" s="9"/>
      <c r="AN210" s="9"/>
      <c r="AP210" s="8"/>
      <c r="AQ210" s="10"/>
      <c r="AR210" s="10"/>
      <c r="AS210" s="8"/>
      <c r="AT210" s="8"/>
      <c r="AU210" s="8"/>
    </row>
    <row r="211" spans="20:47" x14ac:dyDescent="0.4">
      <c r="T211" s="5"/>
      <c r="U211" s="8"/>
      <c r="V211" s="8"/>
      <c r="X211" s="5"/>
      <c r="AB211" s="5"/>
      <c r="AC211" s="8"/>
      <c r="AD211" s="8"/>
      <c r="AE211" s="8"/>
      <c r="AF211" s="8"/>
      <c r="AI211" s="9"/>
      <c r="AN211" s="9"/>
      <c r="AP211" s="8"/>
      <c r="AQ211" s="10"/>
      <c r="AR211" s="10"/>
      <c r="AS211" s="8"/>
      <c r="AT211" s="8"/>
      <c r="AU211" s="8"/>
    </row>
    <row r="212" spans="20:47" x14ac:dyDescent="0.4">
      <c r="T212" s="5"/>
      <c r="U212" s="8"/>
      <c r="V212" s="8"/>
      <c r="X212" s="5"/>
      <c r="AB212" s="5"/>
      <c r="AC212" s="8"/>
      <c r="AD212" s="8"/>
      <c r="AE212" s="8"/>
      <c r="AF212" s="8"/>
      <c r="AI212" s="9"/>
      <c r="AN212" s="9"/>
      <c r="AP212" s="8"/>
      <c r="AQ212" s="10"/>
      <c r="AR212" s="10"/>
      <c r="AS212" s="8"/>
      <c r="AT212" s="8"/>
      <c r="AU212" s="8"/>
    </row>
    <row r="213" spans="20:47" x14ac:dyDescent="0.4">
      <c r="T213" s="5"/>
      <c r="U213" s="8"/>
      <c r="V213" s="8"/>
      <c r="X213" s="5"/>
      <c r="AB213" s="5"/>
      <c r="AC213" s="8"/>
      <c r="AD213" s="8"/>
      <c r="AE213" s="8"/>
      <c r="AF213" s="8"/>
      <c r="AI213" s="9"/>
      <c r="AN213" s="9"/>
      <c r="AP213" s="8"/>
      <c r="AQ213" s="10"/>
      <c r="AR213" s="10"/>
      <c r="AS213" s="8"/>
      <c r="AT213" s="8"/>
      <c r="AU213" s="8"/>
    </row>
    <row r="214" spans="20:47" x14ac:dyDescent="0.4">
      <c r="T214" s="5"/>
      <c r="U214" s="8"/>
      <c r="V214" s="8"/>
      <c r="X214" s="5"/>
      <c r="AB214" s="5"/>
      <c r="AC214" s="8"/>
      <c r="AD214" s="8"/>
      <c r="AE214" s="8"/>
      <c r="AF214" s="8"/>
      <c r="AI214" s="9"/>
      <c r="AN214" s="9"/>
      <c r="AP214" s="8"/>
      <c r="AQ214" s="10"/>
      <c r="AR214" s="10"/>
      <c r="AS214" s="8"/>
      <c r="AT214" s="8"/>
      <c r="AU214" s="8"/>
    </row>
    <row r="215" spans="20:47" x14ac:dyDescent="0.4">
      <c r="T215" s="5"/>
      <c r="U215" s="8"/>
      <c r="V215" s="8"/>
      <c r="X215" s="5"/>
      <c r="AB215" s="5"/>
      <c r="AC215" s="8"/>
      <c r="AD215" s="8"/>
      <c r="AE215" s="8"/>
      <c r="AF215" s="8"/>
      <c r="AI215" s="9"/>
      <c r="AN215" s="9"/>
      <c r="AP215" s="8"/>
      <c r="AQ215" s="10"/>
      <c r="AR215" s="10"/>
      <c r="AS215" s="8"/>
      <c r="AT215" s="8"/>
      <c r="AU215" s="8"/>
    </row>
    <row r="216" spans="20:47" x14ac:dyDescent="0.4">
      <c r="T216" s="5"/>
      <c r="U216" s="8"/>
      <c r="V216" s="8"/>
      <c r="X216" s="5"/>
      <c r="AB216" s="5"/>
      <c r="AC216" s="8"/>
      <c r="AD216" s="8"/>
      <c r="AE216" s="8"/>
      <c r="AF216" s="8"/>
      <c r="AI216" s="9"/>
      <c r="AN216" s="9"/>
      <c r="AP216" s="8"/>
      <c r="AQ216" s="10"/>
      <c r="AR216" s="10"/>
      <c r="AS216" s="8"/>
      <c r="AT216" s="8"/>
      <c r="AU216" s="8"/>
    </row>
    <row r="217" spans="20:47" x14ac:dyDescent="0.4">
      <c r="T217" s="5"/>
      <c r="U217" s="8"/>
      <c r="V217" s="8"/>
      <c r="X217" s="5"/>
      <c r="AB217" s="5"/>
      <c r="AC217" s="8"/>
      <c r="AD217" s="8"/>
      <c r="AE217" s="8"/>
      <c r="AF217" s="8"/>
      <c r="AI217" s="9"/>
      <c r="AN217" s="9"/>
      <c r="AP217" s="8"/>
      <c r="AQ217" s="10"/>
      <c r="AR217" s="10"/>
      <c r="AS217" s="8"/>
      <c r="AT217" s="8"/>
      <c r="AU217" s="8"/>
    </row>
    <row r="218" spans="20:47" x14ac:dyDescent="0.4">
      <c r="T218" s="5"/>
      <c r="U218" s="8"/>
      <c r="V218" s="8"/>
      <c r="X218" s="5"/>
      <c r="AB218" s="5"/>
      <c r="AC218" s="8"/>
      <c r="AD218" s="8"/>
      <c r="AE218" s="8"/>
      <c r="AF218" s="8"/>
      <c r="AI218" s="9"/>
      <c r="AN218" s="9"/>
      <c r="AP218" s="8"/>
      <c r="AQ218" s="10"/>
      <c r="AR218" s="10"/>
      <c r="AS218" s="8"/>
      <c r="AT218" s="8"/>
      <c r="AU218" s="8"/>
    </row>
    <row r="219" spans="20:47" x14ac:dyDescent="0.4">
      <c r="T219" s="5"/>
      <c r="U219" s="8"/>
      <c r="V219" s="8"/>
      <c r="X219" s="5"/>
      <c r="AB219" s="5"/>
      <c r="AC219" s="8"/>
      <c r="AD219" s="8"/>
      <c r="AE219" s="8"/>
      <c r="AF219" s="8"/>
      <c r="AI219" s="9"/>
      <c r="AN219" s="9"/>
      <c r="AP219" s="8"/>
      <c r="AQ219" s="10"/>
      <c r="AR219" s="10"/>
      <c r="AS219" s="8"/>
      <c r="AT219" s="8"/>
      <c r="AU219" s="8"/>
    </row>
    <row r="220" spans="20:47" x14ac:dyDescent="0.4">
      <c r="T220" s="5"/>
      <c r="U220" s="8"/>
      <c r="V220" s="8"/>
      <c r="X220" s="5"/>
      <c r="AB220" s="5"/>
      <c r="AC220" s="8"/>
      <c r="AD220" s="8"/>
      <c r="AE220" s="8"/>
      <c r="AF220" s="8"/>
      <c r="AI220" s="9"/>
      <c r="AN220" s="9"/>
      <c r="AP220" s="8"/>
      <c r="AQ220" s="10"/>
      <c r="AR220" s="10"/>
      <c r="AS220" s="8"/>
      <c r="AT220" s="8"/>
      <c r="AU220" s="8"/>
    </row>
    <row r="221" spans="20:47" x14ac:dyDescent="0.4">
      <c r="T221" s="5"/>
      <c r="U221" s="8"/>
      <c r="V221" s="8"/>
      <c r="X221" s="5"/>
      <c r="AB221" s="5"/>
      <c r="AC221" s="8"/>
      <c r="AD221" s="8"/>
      <c r="AE221" s="8"/>
      <c r="AF221" s="8"/>
      <c r="AI221" s="9"/>
      <c r="AN221" s="9"/>
      <c r="AP221" s="8"/>
      <c r="AQ221" s="10"/>
      <c r="AR221" s="10"/>
      <c r="AS221" s="8"/>
      <c r="AT221" s="8"/>
      <c r="AU221" s="8"/>
    </row>
    <row r="222" spans="20:47" x14ac:dyDescent="0.4">
      <c r="T222" s="5"/>
      <c r="U222" s="8"/>
      <c r="V222" s="8"/>
      <c r="X222" s="5"/>
      <c r="AB222" s="5"/>
      <c r="AC222" s="8"/>
      <c r="AD222" s="8"/>
      <c r="AE222" s="8"/>
      <c r="AF222" s="8"/>
      <c r="AI222" s="9"/>
      <c r="AN222" s="9"/>
      <c r="AP222" s="8"/>
      <c r="AQ222" s="10"/>
      <c r="AR222" s="10"/>
      <c r="AS222" s="8"/>
      <c r="AT222" s="8"/>
      <c r="AU222" s="8"/>
    </row>
    <row r="223" spans="20:47" x14ac:dyDescent="0.4">
      <c r="T223" s="5"/>
      <c r="U223" s="8"/>
      <c r="V223" s="8"/>
      <c r="X223" s="5"/>
      <c r="AB223" s="5"/>
      <c r="AC223" s="8"/>
      <c r="AD223" s="8"/>
      <c r="AE223" s="8"/>
      <c r="AF223" s="8"/>
      <c r="AI223" s="9"/>
      <c r="AN223" s="9"/>
      <c r="AP223" s="8"/>
      <c r="AQ223" s="10"/>
      <c r="AR223" s="10"/>
      <c r="AS223" s="8"/>
      <c r="AT223" s="8"/>
      <c r="AU223" s="8"/>
    </row>
    <row r="224" spans="20:47" x14ac:dyDescent="0.4">
      <c r="T224" s="5"/>
      <c r="U224" s="8"/>
      <c r="V224" s="8"/>
      <c r="X224" s="5"/>
      <c r="AB224" s="5"/>
      <c r="AC224" s="8"/>
      <c r="AD224" s="8"/>
      <c r="AE224" s="8"/>
      <c r="AF224" s="8"/>
      <c r="AI224" s="9"/>
      <c r="AN224" s="9"/>
      <c r="AP224" s="8"/>
      <c r="AQ224" s="10"/>
      <c r="AR224" s="10"/>
      <c r="AS224" s="8"/>
      <c r="AT224" s="8"/>
      <c r="AU224" s="8"/>
    </row>
    <row r="225" spans="20:47" x14ac:dyDescent="0.4">
      <c r="T225" s="5"/>
      <c r="U225" s="8"/>
      <c r="V225" s="8"/>
      <c r="X225" s="5"/>
      <c r="AB225" s="5"/>
      <c r="AC225" s="8"/>
      <c r="AD225" s="8"/>
      <c r="AE225" s="8"/>
      <c r="AF225" s="8"/>
      <c r="AI225" s="9"/>
      <c r="AN225" s="9"/>
      <c r="AP225" s="8"/>
      <c r="AQ225" s="10"/>
      <c r="AR225" s="10"/>
      <c r="AS225" s="8"/>
      <c r="AT225" s="8"/>
      <c r="AU225" s="8"/>
    </row>
    <row r="226" spans="20:47" x14ac:dyDescent="0.4">
      <c r="T226" s="5"/>
      <c r="U226" s="8"/>
      <c r="V226" s="8"/>
      <c r="X226" s="5"/>
      <c r="AB226" s="5"/>
      <c r="AC226" s="8"/>
      <c r="AD226" s="8"/>
      <c r="AE226" s="8"/>
      <c r="AF226" s="8"/>
      <c r="AI226" s="9"/>
      <c r="AN226" s="9"/>
      <c r="AP226" s="8"/>
      <c r="AQ226" s="10"/>
      <c r="AR226" s="10"/>
      <c r="AS226" s="8"/>
      <c r="AT226" s="8"/>
      <c r="AU226" s="8"/>
    </row>
    <row r="227" spans="20:47" x14ac:dyDescent="0.4">
      <c r="T227" s="5"/>
      <c r="U227" s="8"/>
      <c r="V227" s="8"/>
      <c r="X227" s="5"/>
      <c r="AB227" s="5"/>
      <c r="AC227" s="8"/>
      <c r="AD227" s="8"/>
      <c r="AE227" s="8"/>
      <c r="AF227" s="8"/>
      <c r="AI227" s="9"/>
      <c r="AN227" s="9"/>
      <c r="AP227" s="8"/>
      <c r="AQ227" s="10"/>
      <c r="AR227" s="10"/>
      <c r="AS227" s="8"/>
      <c r="AT227" s="8"/>
      <c r="AU227" s="8"/>
    </row>
    <row r="228" spans="20:47" x14ac:dyDescent="0.4">
      <c r="T228" s="5"/>
      <c r="U228" s="8"/>
      <c r="V228" s="8"/>
      <c r="X228" s="5"/>
      <c r="AB228" s="5"/>
      <c r="AC228" s="8"/>
      <c r="AD228" s="8"/>
      <c r="AE228" s="8"/>
      <c r="AF228" s="8"/>
      <c r="AI228" s="9"/>
      <c r="AN228" s="9"/>
      <c r="AP228" s="8"/>
      <c r="AQ228" s="10"/>
      <c r="AR228" s="10"/>
      <c r="AS228" s="8"/>
      <c r="AT228" s="8"/>
      <c r="AU228" s="8"/>
    </row>
    <row r="229" spans="20:47" x14ac:dyDescent="0.4">
      <c r="T229" s="5"/>
      <c r="U229" s="8"/>
      <c r="V229" s="8"/>
      <c r="X229" s="5"/>
      <c r="AB229" s="5"/>
      <c r="AC229" s="8"/>
      <c r="AD229" s="8"/>
      <c r="AE229" s="8"/>
      <c r="AF229" s="8"/>
      <c r="AI229" s="9"/>
      <c r="AN229" s="9"/>
      <c r="AP229" s="8"/>
      <c r="AQ229" s="10"/>
      <c r="AR229" s="10"/>
      <c r="AS229" s="8"/>
      <c r="AT229" s="8"/>
      <c r="AU229" s="8"/>
    </row>
    <row r="230" spans="20:47" x14ac:dyDescent="0.4">
      <c r="T230" s="5"/>
      <c r="U230" s="8"/>
      <c r="V230" s="8"/>
      <c r="X230" s="5"/>
      <c r="AB230" s="5"/>
      <c r="AC230" s="8"/>
      <c r="AD230" s="8"/>
      <c r="AE230" s="8"/>
      <c r="AF230" s="8"/>
      <c r="AI230" s="9"/>
      <c r="AN230" s="9"/>
      <c r="AP230" s="8"/>
      <c r="AQ230" s="10"/>
      <c r="AR230" s="10"/>
      <c r="AS230" s="8"/>
      <c r="AT230" s="8"/>
      <c r="AU230" s="8"/>
    </row>
    <row r="231" spans="20:47" x14ac:dyDescent="0.4">
      <c r="T231" s="5"/>
      <c r="U231" s="8"/>
      <c r="V231" s="8"/>
      <c r="X231" s="5"/>
      <c r="AB231" s="5"/>
      <c r="AC231" s="8"/>
      <c r="AD231" s="8"/>
      <c r="AE231" s="8"/>
      <c r="AF231" s="8"/>
      <c r="AI231" s="9"/>
      <c r="AN231" s="9"/>
      <c r="AP231" s="8"/>
      <c r="AQ231" s="10"/>
      <c r="AR231" s="10"/>
      <c r="AS231" s="8"/>
      <c r="AT231" s="8"/>
      <c r="AU231" s="8"/>
    </row>
    <row r="232" spans="20:47" x14ac:dyDescent="0.4">
      <c r="T232" s="5"/>
      <c r="U232" s="8"/>
      <c r="V232" s="8"/>
      <c r="X232" s="5"/>
      <c r="AB232" s="5"/>
      <c r="AC232" s="8"/>
      <c r="AD232" s="8"/>
      <c r="AE232" s="8"/>
      <c r="AF232" s="8"/>
      <c r="AI232" s="9"/>
      <c r="AN232" s="9"/>
      <c r="AP232" s="8"/>
      <c r="AQ232" s="10"/>
      <c r="AR232" s="10"/>
      <c r="AS232" s="8"/>
      <c r="AT232" s="8"/>
      <c r="AU232" s="8"/>
    </row>
    <row r="233" spans="20:47" x14ac:dyDescent="0.4">
      <c r="T233" s="5"/>
      <c r="U233" s="8"/>
      <c r="V233" s="8"/>
      <c r="X233" s="5"/>
      <c r="AB233" s="5"/>
      <c r="AC233" s="8"/>
      <c r="AD233" s="8"/>
      <c r="AE233" s="8"/>
      <c r="AF233" s="8"/>
      <c r="AI233" s="9"/>
      <c r="AN233" s="9"/>
      <c r="AP233" s="8"/>
      <c r="AQ233" s="10"/>
      <c r="AR233" s="10"/>
      <c r="AS233" s="8"/>
      <c r="AT233" s="8"/>
      <c r="AU233" s="8"/>
    </row>
    <row r="234" spans="20:47" x14ac:dyDescent="0.4">
      <c r="T234" s="5"/>
      <c r="U234" s="8"/>
      <c r="V234" s="8"/>
      <c r="X234" s="5"/>
      <c r="AB234" s="5"/>
      <c r="AC234" s="8"/>
      <c r="AD234" s="8"/>
      <c r="AE234" s="8"/>
      <c r="AF234" s="8"/>
      <c r="AI234" s="9"/>
      <c r="AN234" s="9"/>
      <c r="AP234" s="8"/>
      <c r="AQ234" s="10"/>
      <c r="AR234" s="10"/>
      <c r="AS234" s="8"/>
      <c r="AT234" s="8"/>
      <c r="AU234" s="8"/>
    </row>
    <row r="235" spans="20:47" x14ac:dyDescent="0.4">
      <c r="T235" s="5"/>
      <c r="U235" s="8"/>
      <c r="V235" s="8"/>
      <c r="X235" s="5"/>
      <c r="AB235" s="5"/>
      <c r="AC235" s="8"/>
      <c r="AD235" s="8"/>
      <c r="AE235" s="8"/>
      <c r="AF235" s="8"/>
      <c r="AI235" s="9"/>
      <c r="AN235" s="9"/>
      <c r="AP235" s="8"/>
      <c r="AQ235" s="10"/>
      <c r="AR235" s="10"/>
      <c r="AS235" s="8"/>
      <c r="AT235" s="8"/>
      <c r="AU235" s="8"/>
    </row>
    <row r="236" spans="20:47" x14ac:dyDescent="0.4">
      <c r="T236" s="5"/>
      <c r="U236" s="8"/>
      <c r="V236" s="8"/>
      <c r="X236" s="5"/>
      <c r="AB236" s="5"/>
      <c r="AC236" s="8"/>
      <c r="AD236" s="8"/>
      <c r="AE236" s="8"/>
      <c r="AF236" s="8"/>
      <c r="AI236" s="9"/>
      <c r="AN236" s="9"/>
      <c r="AP236" s="8"/>
      <c r="AQ236" s="10"/>
      <c r="AR236" s="10"/>
      <c r="AS236" s="8"/>
      <c r="AT236" s="8"/>
      <c r="AU236" s="8"/>
    </row>
    <row r="237" spans="20:47" x14ac:dyDescent="0.4">
      <c r="T237" s="5"/>
      <c r="U237" s="8"/>
      <c r="V237" s="8"/>
      <c r="X237" s="5"/>
      <c r="AB237" s="5"/>
      <c r="AC237" s="8"/>
      <c r="AD237" s="8"/>
      <c r="AE237" s="8"/>
      <c r="AF237" s="8"/>
      <c r="AI237" s="9"/>
      <c r="AN237" s="9"/>
      <c r="AP237" s="8"/>
      <c r="AQ237" s="10"/>
      <c r="AR237" s="10"/>
      <c r="AS237" s="8"/>
      <c r="AT237" s="8"/>
      <c r="AU237" s="8"/>
    </row>
    <row r="238" spans="20:47" x14ac:dyDescent="0.4">
      <c r="T238" s="5"/>
      <c r="U238" s="8"/>
      <c r="V238" s="8"/>
      <c r="X238" s="5"/>
      <c r="AB238" s="5"/>
      <c r="AC238" s="8"/>
      <c r="AD238" s="8"/>
      <c r="AE238" s="8"/>
      <c r="AF238" s="8"/>
      <c r="AI238" s="9"/>
      <c r="AN238" s="9"/>
      <c r="AP238" s="8"/>
      <c r="AQ238" s="10"/>
      <c r="AR238" s="10"/>
      <c r="AS238" s="8"/>
      <c r="AT238" s="8"/>
      <c r="AU238" s="8"/>
    </row>
    <row r="239" spans="20:47" x14ac:dyDescent="0.4">
      <c r="T239" s="5"/>
      <c r="U239" s="8"/>
      <c r="V239" s="8"/>
      <c r="X239" s="5"/>
      <c r="AB239" s="5"/>
      <c r="AC239" s="8"/>
      <c r="AD239" s="8"/>
      <c r="AE239" s="8"/>
      <c r="AF239" s="8"/>
      <c r="AI239" s="9"/>
      <c r="AN239" s="9"/>
      <c r="AP239" s="8"/>
      <c r="AQ239" s="10"/>
      <c r="AR239" s="10"/>
      <c r="AS239" s="8"/>
      <c r="AT239" s="8"/>
      <c r="AU239" s="8"/>
    </row>
    <row r="240" spans="20:47" x14ac:dyDescent="0.4">
      <c r="T240" s="5"/>
      <c r="U240" s="8"/>
      <c r="V240" s="8"/>
      <c r="X240" s="5"/>
      <c r="AB240" s="5"/>
      <c r="AC240" s="8"/>
      <c r="AD240" s="8"/>
      <c r="AE240" s="8"/>
      <c r="AF240" s="8"/>
      <c r="AI240" s="9"/>
      <c r="AN240" s="9"/>
      <c r="AP240" s="8"/>
      <c r="AQ240" s="10"/>
      <c r="AR240" s="10"/>
      <c r="AS240" s="8"/>
      <c r="AT240" s="8"/>
      <c r="AU240" s="8"/>
    </row>
    <row r="241" spans="20:47" x14ac:dyDescent="0.4">
      <c r="T241" s="5"/>
      <c r="U241" s="8"/>
      <c r="V241" s="8"/>
      <c r="X241" s="5"/>
      <c r="AB241" s="5"/>
      <c r="AC241" s="8"/>
      <c r="AD241" s="8"/>
      <c r="AE241" s="8"/>
      <c r="AF241" s="8"/>
      <c r="AI241" s="9"/>
      <c r="AN241" s="9"/>
      <c r="AP241" s="8"/>
      <c r="AQ241" s="10"/>
      <c r="AR241" s="10"/>
      <c r="AS241" s="8"/>
      <c r="AT241" s="8"/>
      <c r="AU241" s="8"/>
    </row>
    <row r="242" spans="20:47" x14ac:dyDescent="0.4">
      <c r="T242" s="5"/>
      <c r="U242" s="8"/>
      <c r="V242" s="8"/>
      <c r="X242" s="5"/>
      <c r="AB242" s="5"/>
      <c r="AC242" s="8"/>
      <c r="AD242" s="8"/>
      <c r="AE242" s="8"/>
      <c r="AF242" s="8"/>
      <c r="AI242" s="9"/>
      <c r="AN242" s="9"/>
      <c r="AP242" s="8"/>
      <c r="AQ242" s="10"/>
      <c r="AR242" s="10"/>
      <c r="AS242" s="8"/>
      <c r="AT242" s="8"/>
      <c r="AU242" s="8"/>
    </row>
    <row r="243" spans="20:47" x14ac:dyDescent="0.4">
      <c r="T243" s="5"/>
      <c r="U243" s="8"/>
      <c r="V243" s="8"/>
      <c r="X243" s="5"/>
      <c r="AB243" s="5"/>
      <c r="AC243" s="8"/>
      <c r="AD243" s="8"/>
      <c r="AE243" s="8"/>
      <c r="AF243" s="8"/>
      <c r="AI243" s="9"/>
      <c r="AN243" s="9"/>
      <c r="AP243" s="8"/>
      <c r="AQ243" s="10"/>
      <c r="AR243" s="10"/>
      <c r="AS243" s="8"/>
      <c r="AT243" s="8"/>
      <c r="AU243" s="8"/>
    </row>
    <row r="244" spans="20:47" x14ac:dyDescent="0.4">
      <c r="T244" s="5"/>
      <c r="U244" s="8"/>
      <c r="V244" s="8"/>
      <c r="X244" s="5"/>
      <c r="AB244" s="5"/>
      <c r="AC244" s="8"/>
      <c r="AD244" s="8"/>
      <c r="AE244" s="8"/>
      <c r="AF244" s="8"/>
      <c r="AI244" s="9"/>
      <c r="AN244" s="9"/>
      <c r="AP244" s="8"/>
      <c r="AQ244" s="10"/>
      <c r="AR244" s="10"/>
      <c r="AS244" s="8"/>
      <c r="AT244" s="8"/>
      <c r="AU244" s="8"/>
    </row>
    <row r="245" spans="20:47" x14ac:dyDescent="0.4">
      <c r="T245" s="5"/>
      <c r="U245" s="8"/>
      <c r="V245" s="8"/>
      <c r="X245" s="5"/>
      <c r="AB245" s="5"/>
      <c r="AC245" s="8"/>
      <c r="AD245" s="8"/>
      <c r="AE245" s="8"/>
      <c r="AF245" s="8"/>
      <c r="AI245" s="9"/>
      <c r="AN245" s="9"/>
      <c r="AP245" s="8"/>
      <c r="AQ245" s="10"/>
      <c r="AR245" s="10"/>
      <c r="AS245" s="8"/>
      <c r="AT245" s="8"/>
      <c r="AU245" s="8"/>
    </row>
    <row r="246" spans="20:47" x14ac:dyDescent="0.4">
      <c r="T246" s="5"/>
      <c r="U246" s="8"/>
      <c r="V246" s="8"/>
      <c r="X246" s="5"/>
      <c r="AB246" s="5"/>
      <c r="AC246" s="8"/>
      <c r="AD246" s="8"/>
      <c r="AE246" s="8"/>
      <c r="AF246" s="8"/>
      <c r="AI246" s="9"/>
      <c r="AN246" s="9"/>
      <c r="AP246" s="8"/>
      <c r="AQ246" s="10"/>
      <c r="AR246" s="10"/>
      <c r="AS246" s="8"/>
      <c r="AT246" s="8"/>
      <c r="AU246" s="8"/>
    </row>
    <row r="247" spans="20:47" x14ac:dyDescent="0.4">
      <c r="T247" s="5"/>
      <c r="U247" s="8"/>
      <c r="V247" s="8"/>
      <c r="X247" s="5"/>
      <c r="AB247" s="5"/>
      <c r="AC247" s="8"/>
      <c r="AD247" s="8"/>
      <c r="AE247" s="8"/>
      <c r="AF247" s="8"/>
      <c r="AI247" s="9"/>
      <c r="AN247" s="9"/>
      <c r="AP247" s="8"/>
      <c r="AQ247" s="10"/>
      <c r="AR247" s="10"/>
      <c r="AS247" s="8"/>
      <c r="AT247" s="8"/>
      <c r="AU247" s="8"/>
    </row>
    <row r="248" spans="20:47" x14ac:dyDescent="0.4">
      <c r="T248" s="5"/>
      <c r="U248" s="8"/>
      <c r="V248" s="8"/>
      <c r="X248" s="5"/>
      <c r="AB248" s="5"/>
      <c r="AC248" s="8"/>
      <c r="AD248" s="8"/>
      <c r="AE248" s="8"/>
      <c r="AF248" s="8"/>
      <c r="AI248" s="9"/>
      <c r="AN248" s="9"/>
      <c r="AP248" s="8"/>
      <c r="AQ248" s="10"/>
      <c r="AR248" s="10"/>
      <c r="AS248" s="8"/>
      <c r="AT248" s="8"/>
      <c r="AU248" s="8"/>
    </row>
    <row r="249" spans="20:47" x14ac:dyDescent="0.4">
      <c r="T249" s="5"/>
      <c r="U249" s="8"/>
      <c r="V249" s="8"/>
      <c r="X249" s="5"/>
      <c r="AB249" s="5"/>
      <c r="AC249" s="8"/>
      <c r="AD249" s="8"/>
      <c r="AE249" s="8"/>
      <c r="AF249" s="8"/>
      <c r="AI249" s="9"/>
      <c r="AN249" s="9"/>
      <c r="AP249" s="8"/>
      <c r="AQ249" s="10"/>
      <c r="AR249" s="10"/>
      <c r="AS249" s="8"/>
      <c r="AT249" s="8"/>
      <c r="AU249" s="8"/>
    </row>
    <row r="250" spans="20:47" x14ac:dyDescent="0.4">
      <c r="T250" s="5"/>
      <c r="U250" s="8"/>
      <c r="V250" s="8"/>
      <c r="X250" s="5"/>
      <c r="AB250" s="5"/>
      <c r="AC250" s="8"/>
      <c r="AD250" s="8"/>
      <c r="AE250" s="8"/>
      <c r="AF250" s="8"/>
      <c r="AI250" s="9"/>
      <c r="AN250" s="9"/>
      <c r="AP250" s="8"/>
      <c r="AQ250" s="10"/>
      <c r="AR250" s="10"/>
      <c r="AS250" s="8"/>
      <c r="AT250" s="8"/>
      <c r="AU250" s="8"/>
    </row>
    <row r="251" spans="20:47" x14ac:dyDescent="0.4">
      <c r="T251" s="5"/>
      <c r="U251" s="8"/>
      <c r="V251" s="8"/>
      <c r="X251" s="5"/>
      <c r="AB251" s="5"/>
      <c r="AC251" s="8"/>
      <c r="AD251" s="8"/>
      <c r="AE251" s="8"/>
      <c r="AF251" s="8"/>
      <c r="AI251" s="9"/>
      <c r="AN251" s="9"/>
      <c r="AP251" s="8"/>
      <c r="AQ251" s="10"/>
      <c r="AR251" s="10"/>
      <c r="AS251" s="8"/>
      <c r="AT251" s="8"/>
      <c r="AU251" s="8"/>
    </row>
    <row r="252" spans="20:47" x14ac:dyDescent="0.4">
      <c r="T252" s="5"/>
      <c r="U252" s="8"/>
      <c r="V252" s="8"/>
      <c r="X252" s="5"/>
      <c r="AB252" s="5"/>
      <c r="AC252" s="8"/>
      <c r="AD252" s="8"/>
      <c r="AE252" s="8"/>
      <c r="AF252" s="8"/>
      <c r="AI252" s="9"/>
      <c r="AN252" s="9"/>
      <c r="AP252" s="8"/>
      <c r="AQ252" s="10"/>
      <c r="AR252" s="10"/>
      <c r="AS252" s="8"/>
      <c r="AT252" s="8"/>
      <c r="AU252" s="8"/>
    </row>
    <row r="253" spans="20:47" x14ac:dyDescent="0.4">
      <c r="T253" s="5"/>
      <c r="U253" s="8"/>
      <c r="V253" s="8"/>
      <c r="X253" s="5"/>
      <c r="AB253" s="5"/>
      <c r="AC253" s="8"/>
      <c r="AD253" s="8"/>
      <c r="AE253" s="8"/>
      <c r="AF253" s="8"/>
      <c r="AI253" s="9"/>
      <c r="AN253" s="9"/>
      <c r="AP253" s="8"/>
      <c r="AQ253" s="10"/>
      <c r="AR253" s="10"/>
      <c r="AS253" s="8"/>
      <c r="AT253" s="8"/>
      <c r="AU253" s="8"/>
    </row>
    <row r="254" spans="20:47" x14ac:dyDescent="0.4">
      <c r="T254" s="5"/>
      <c r="U254" s="8"/>
      <c r="V254" s="8"/>
      <c r="X254" s="5"/>
      <c r="AB254" s="5"/>
      <c r="AC254" s="8"/>
      <c r="AD254" s="8"/>
      <c r="AE254" s="8"/>
      <c r="AF254" s="8"/>
      <c r="AI254" s="9"/>
      <c r="AN254" s="9"/>
      <c r="AP254" s="8"/>
      <c r="AQ254" s="10"/>
      <c r="AR254" s="10"/>
      <c r="AS254" s="8"/>
      <c r="AT254" s="8"/>
      <c r="AU254" s="8"/>
    </row>
    <row r="255" spans="20:47" x14ac:dyDescent="0.4">
      <c r="T255" s="5"/>
      <c r="U255" s="8"/>
      <c r="V255" s="8"/>
      <c r="X255" s="5"/>
      <c r="AB255" s="5"/>
      <c r="AC255" s="8"/>
      <c r="AD255" s="8"/>
      <c r="AE255" s="8"/>
      <c r="AF255" s="8"/>
      <c r="AI255" s="9"/>
      <c r="AN255" s="9"/>
      <c r="AP255" s="8"/>
      <c r="AQ255" s="10"/>
      <c r="AR255" s="10"/>
      <c r="AS255" s="8"/>
      <c r="AT255" s="8"/>
      <c r="AU255" s="8"/>
    </row>
    <row r="256" spans="20:47" x14ac:dyDescent="0.4">
      <c r="T256" s="5"/>
      <c r="U256" s="8"/>
      <c r="V256" s="8"/>
      <c r="X256" s="5"/>
      <c r="AB256" s="5"/>
      <c r="AC256" s="8"/>
      <c r="AD256" s="8"/>
      <c r="AE256" s="8"/>
      <c r="AF256" s="8"/>
      <c r="AI256" s="9"/>
      <c r="AN256" s="9"/>
      <c r="AP256" s="8"/>
      <c r="AQ256" s="10"/>
      <c r="AR256" s="10"/>
      <c r="AS256" s="8"/>
      <c r="AT256" s="8"/>
      <c r="AU256" s="8"/>
    </row>
    <row r="257" spans="20:47" x14ac:dyDescent="0.4">
      <c r="T257" s="5"/>
      <c r="U257" s="8"/>
      <c r="V257" s="8"/>
      <c r="X257" s="5"/>
      <c r="AB257" s="5"/>
      <c r="AC257" s="8"/>
      <c r="AD257" s="8"/>
      <c r="AE257" s="8"/>
      <c r="AF257" s="8"/>
      <c r="AI257" s="9"/>
      <c r="AN257" s="9"/>
      <c r="AP257" s="8"/>
      <c r="AQ257" s="10"/>
      <c r="AR257" s="10"/>
      <c r="AS257" s="8"/>
      <c r="AT257" s="8"/>
      <c r="AU257" s="8"/>
    </row>
    <row r="258" spans="20:47" x14ac:dyDescent="0.4">
      <c r="T258" s="5"/>
      <c r="U258" s="8"/>
      <c r="V258" s="8"/>
      <c r="X258" s="5"/>
      <c r="AB258" s="5"/>
      <c r="AC258" s="8"/>
      <c r="AD258" s="8"/>
      <c r="AE258" s="8"/>
      <c r="AF258" s="8"/>
      <c r="AI258" s="9"/>
      <c r="AN258" s="9"/>
      <c r="AP258" s="8"/>
      <c r="AQ258" s="10"/>
      <c r="AR258" s="10"/>
      <c r="AS258" s="8"/>
      <c r="AT258" s="8"/>
      <c r="AU258" s="8"/>
    </row>
    <row r="259" spans="20:47" x14ac:dyDescent="0.4">
      <c r="T259" s="5"/>
      <c r="U259" s="8"/>
      <c r="V259" s="8"/>
      <c r="X259" s="5"/>
      <c r="AB259" s="5"/>
      <c r="AC259" s="8"/>
      <c r="AD259" s="8"/>
      <c r="AE259" s="8"/>
      <c r="AF259" s="8"/>
      <c r="AI259" s="9"/>
      <c r="AN259" s="9"/>
      <c r="AP259" s="8"/>
      <c r="AQ259" s="10"/>
      <c r="AR259" s="10"/>
      <c r="AS259" s="8"/>
      <c r="AT259" s="8"/>
      <c r="AU259" s="8"/>
    </row>
    <row r="260" spans="20:47" x14ac:dyDescent="0.4">
      <c r="T260" s="5"/>
      <c r="U260" s="8"/>
      <c r="V260" s="8"/>
      <c r="X260" s="5"/>
      <c r="AB260" s="5"/>
      <c r="AC260" s="8"/>
      <c r="AD260" s="8"/>
      <c r="AE260" s="8"/>
      <c r="AF260" s="8"/>
      <c r="AI260" s="9"/>
      <c r="AN260" s="9"/>
      <c r="AP260" s="8"/>
      <c r="AQ260" s="10"/>
      <c r="AR260" s="10"/>
      <c r="AS260" s="8"/>
      <c r="AT260" s="8"/>
      <c r="AU260" s="8"/>
    </row>
    <row r="261" spans="20:47" x14ac:dyDescent="0.4">
      <c r="T261" s="5"/>
      <c r="U261" s="8"/>
      <c r="V261" s="8"/>
      <c r="X261" s="5"/>
      <c r="AB261" s="5"/>
      <c r="AC261" s="8"/>
      <c r="AD261" s="8"/>
      <c r="AE261" s="8"/>
      <c r="AF261" s="8"/>
      <c r="AI261" s="9"/>
      <c r="AN261" s="9"/>
      <c r="AP261" s="8"/>
      <c r="AQ261" s="10"/>
      <c r="AR261" s="10"/>
      <c r="AS261" s="8"/>
      <c r="AT261" s="8"/>
      <c r="AU261" s="8"/>
    </row>
    <row r="262" spans="20:47" x14ac:dyDescent="0.4">
      <c r="T262" s="5"/>
      <c r="U262" s="8"/>
      <c r="V262" s="8"/>
      <c r="X262" s="5"/>
      <c r="AB262" s="5"/>
      <c r="AC262" s="8"/>
      <c r="AD262" s="8"/>
      <c r="AE262" s="8"/>
      <c r="AF262" s="8"/>
      <c r="AI262" s="9"/>
      <c r="AN262" s="9"/>
      <c r="AP262" s="8"/>
      <c r="AQ262" s="10"/>
      <c r="AR262" s="10"/>
      <c r="AS262" s="8"/>
      <c r="AT262" s="8"/>
      <c r="AU262" s="8"/>
    </row>
    <row r="263" spans="20:47" x14ac:dyDescent="0.4">
      <c r="T263" s="5"/>
      <c r="U263" s="8"/>
      <c r="V263" s="8"/>
      <c r="X263" s="5"/>
      <c r="AB263" s="5"/>
      <c r="AC263" s="8"/>
      <c r="AD263" s="8"/>
      <c r="AE263" s="8"/>
      <c r="AF263" s="8"/>
      <c r="AI263" s="9"/>
      <c r="AN263" s="9"/>
      <c r="AP263" s="8"/>
      <c r="AQ263" s="10"/>
      <c r="AR263" s="10"/>
      <c r="AS263" s="8"/>
      <c r="AT263" s="8"/>
      <c r="AU263" s="8"/>
    </row>
    <row r="264" spans="20:47" x14ac:dyDescent="0.4">
      <c r="T264" s="5"/>
      <c r="U264" s="8"/>
      <c r="V264" s="8"/>
      <c r="X264" s="5"/>
      <c r="AB264" s="5"/>
      <c r="AC264" s="8"/>
      <c r="AD264" s="8"/>
      <c r="AE264" s="8"/>
      <c r="AF264" s="8"/>
      <c r="AI264" s="9"/>
      <c r="AN264" s="9"/>
      <c r="AP264" s="8"/>
      <c r="AQ264" s="10"/>
      <c r="AR264" s="10"/>
      <c r="AS264" s="8"/>
      <c r="AT264" s="8"/>
      <c r="AU264" s="8"/>
    </row>
    <row r="265" spans="20:47" x14ac:dyDescent="0.4">
      <c r="T265" s="5"/>
      <c r="U265" s="8"/>
      <c r="V265" s="8"/>
      <c r="X265" s="5"/>
      <c r="AB265" s="5"/>
      <c r="AC265" s="8"/>
      <c r="AD265" s="8"/>
      <c r="AE265" s="8"/>
      <c r="AF265" s="8"/>
      <c r="AI265" s="9"/>
      <c r="AN265" s="9"/>
      <c r="AP265" s="8"/>
      <c r="AQ265" s="10"/>
      <c r="AR265" s="10"/>
      <c r="AS265" s="8"/>
      <c r="AT265" s="8"/>
      <c r="AU265" s="8"/>
    </row>
    <row r="266" spans="20:47" x14ac:dyDescent="0.4">
      <c r="T266" s="5"/>
      <c r="U266" s="8"/>
      <c r="V266" s="8"/>
      <c r="X266" s="5"/>
      <c r="AB266" s="5"/>
      <c r="AC266" s="8"/>
      <c r="AD266" s="8"/>
      <c r="AE266" s="8"/>
      <c r="AF266" s="8"/>
      <c r="AI266" s="9"/>
      <c r="AN266" s="9"/>
      <c r="AP266" s="8"/>
      <c r="AQ266" s="10"/>
      <c r="AR266" s="10"/>
      <c r="AS266" s="8"/>
      <c r="AT266" s="8"/>
      <c r="AU266" s="8"/>
    </row>
    <row r="267" spans="20:47" x14ac:dyDescent="0.4">
      <c r="T267" s="5"/>
      <c r="U267" s="8"/>
      <c r="V267" s="8"/>
      <c r="X267" s="5"/>
      <c r="AB267" s="5"/>
      <c r="AC267" s="8"/>
      <c r="AD267" s="8"/>
      <c r="AE267" s="8"/>
      <c r="AF267" s="8"/>
      <c r="AI267" s="9"/>
      <c r="AN267" s="9"/>
      <c r="AP267" s="8"/>
      <c r="AQ267" s="10"/>
      <c r="AR267" s="10"/>
      <c r="AS267" s="8"/>
      <c r="AT267" s="8"/>
      <c r="AU267" s="8"/>
    </row>
    <row r="268" spans="20:47" x14ac:dyDescent="0.4">
      <c r="T268" s="5"/>
      <c r="U268" s="8"/>
      <c r="V268" s="8"/>
      <c r="X268" s="5"/>
      <c r="AB268" s="5"/>
      <c r="AC268" s="8"/>
      <c r="AD268" s="8"/>
      <c r="AE268" s="8"/>
      <c r="AF268" s="8"/>
      <c r="AI268" s="9"/>
      <c r="AN268" s="9"/>
      <c r="AP268" s="8"/>
      <c r="AQ268" s="10"/>
      <c r="AR268" s="10"/>
      <c r="AS268" s="8"/>
      <c r="AT268" s="8"/>
      <c r="AU268" s="8"/>
    </row>
    <row r="269" spans="20:47" x14ac:dyDescent="0.4">
      <c r="T269" s="5"/>
      <c r="U269" s="8"/>
      <c r="V269" s="8"/>
      <c r="X269" s="5"/>
      <c r="AB269" s="5"/>
      <c r="AC269" s="8"/>
      <c r="AD269" s="8"/>
      <c r="AE269" s="8"/>
      <c r="AF269" s="8"/>
      <c r="AI269" s="9"/>
      <c r="AN269" s="9"/>
      <c r="AP269" s="8"/>
      <c r="AQ269" s="10"/>
      <c r="AR269" s="10"/>
      <c r="AS269" s="8"/>
      <c r="AT269" s="8"/>
      <c r="AU269" s="8"/>
    </row>
    <row r="270" spans="20:47" x14ac:dyDescent="0.4">
      <c r="T270" s="5"/>
      <c r="U270" s="8"/>
      <c r="V270" s="8"/>
      <c r="X270" s="5"/>
      <c r="AB270" s="5"/>
      <c r="AC270" s="8"/>
      <c r="AD270" s="8"/>
      <c r="AE270" s="8"/>
      <c r="AF270" s="8"/>
      <c r="AI270" s="9"/>
      <c r="AN270" s="9"/>
      <c r="AP270" s="8"/>
      <c r="AQ270" s="10"/>
      <c r="AR270" s="10"/>
      <c r="AS270" s="8"/>
      <c r="AT270" s="8"/>
      <c r="AU270" s="8"/>
    </row>
    <row r="271" spans="20:47" x14ac:dyDescent="0.4">
      <c r="T271" s="5"/>
      <c r="U271" s="8"/>
      <c r="V271" s="8"/>
      <c r="X271" s="5"/>
      <c r="AB271" s="5"/>
      <c r="AC271" s="8"/>
      <c r="AD271" s="8"/>
      <c r="AE271" s="8"/>
      <c r="AF271" s="8"/>
      <c r="AI271" s="9"/>
      <c r="AN271" s="9"/>
      <c r="AP271" s="8"/>
      <c r="AQ271" s="10"/>
      <c r="AR271" s="10"/>
      <c r="AS271" s="8"/>
      <c r="AT271" s="8"/>
      <c r="AU271" s="8"/>
    </row>
    <row r="272" spans="20:47" x14ac:dyDescent="0.4">
      <c r="T272" s="5"/>
      <c r="U272" s="8"/>
      <c r="V272" s="8"/>
      <c r="X272" s="5"/>
      <c r="AB272" s="5"/>
      <c r="AC272" s="8"/>
      <c r="AD272" s="8"/>
      <c r="AE272" s="8"/>
      <c r="AF272" s="8"/>
      <c r="AI272" s="9"/>
      <c r="AN272" s="9"/>
      <c r="AP272" s="8"/>
      <c r="AQ272" s="10"/>
      <c r="AR272" s="10"/>
      <c r="AS272" s="8"/>
      <c r="AT272" s="8"/>
      <c r="AU272" s="8"/>
    </row>
    <row r="273" spans="20:47" x14ac:dyDescent="0.4">
      <c r="T273" s="5"/>
      <c r="U273" s="8"/>
      <c r="V273" s="8"/>
      <c r="X273" s="5"/>
      <c r="AB273" s="5"/>
      <c r="AC273" s="8"/>
      <c r="AD273" s="8"/>
      <c r="AE273" s="8"/>
      <c r="AF273" s="8"/>
      <c r="AI273" s="9"/>
      <c r="AN273" s="9"/>
      <c r="AP273" s="8"/>
      <c r="AQ273" s="10"/>
      <c r="AR273" s="10"/>
      <c r="AS273" s="8"/>
      <c r="AT273" s="8"/>
      <c r="AU273" s="8"/>
    </row>
    <row r="274" spans="20:47" x14ac:dyDescent="0.4">
      <c r="T274" s="5"/>
      <c r="U274" s="8"/>
      <c r="V274" s="8"/>
      <c r="X274" s="5"/>
      <c r="AB274" s="5"/>
      <c r="AC274" s="8"/>
      <c r="AD274" s="8"/>
      <c r="AE274" s="8"/>
      <c r="AF274" s="8"/>
      <c r="AI274" s="9"/>
      <c r="AN274" s="9"/>
      <c r="AP274" s="8"/>
      <c r="AQ274" s="10"/>
      <c r="AR274" s="10"/>
      <c r="AS274" s="8"/>
      <c r="AT274" s="8"/>
      <c r="AU274" s="8"/>
    </row>
    <row r="275" spans="20:47" x14ac:dyDescent="0.4">
      <c r="T275" s="5"/>
      <c r="U275" s="8"/>
      <c r="V275" s="8"/>
      <c r="X275" s="5"/>
      <c r="AB275" s="5"/>
      <c r="AC275" s="8"/>
      <c r="AD275" s="8"/>
      <c r="AE275" s="8"/>
      <c r="AF275" s="8"/>
      <c r="AI275" s="9"/>
      <c r="AN275" s="9"/>
      <c r="AP275" s="8"/>
      <c r="AQ275" s="10"/>
      <c r="AR275" s="10"/>
      <c r="AS275" s="8"/>
      <c r="AT275" s="8"/>
      <c r="AU275" s="8"/>
    </row>
    <row r="276" spans="20:47" x14ac:dyDescent="0.4">
      <c r="T276" s="5"/>
      <c r="U276" s="8"/>
      <c r="V276" s="8"/>
      <c r="X276" s="5"/>
      <c r="AB276" s="5"/>
      <c r="AC276" s="8"/>
      <c r="AD276" s="8"/>
      <c r="AE276" s="8"/>
      <c r="AF276" s="8"/>
      <c r="AI276" s="9"/>
      <c r="AN276" s="9"/>
      <c r="AP276" s="8"/>
      <c r="AQ276" s="10"/>
      <c r="AR276" s="10"/>
      <c r="AS276" s="8"/>
      <c r="AT276" s="8"/>
      <c r="AU276" s="8"/>
    </row>
    <row r="277" spans="20:47" x14ac:dyDescent="0.4">
      <c r="T277" s="5"/>
      <c r="U277" s="8"/>
      <c r="V277" s="8"/>
      <c r="X277" s="5"/>
      <c r="AB277" s="5"/>
      <c r="AC277" s="8"/>
      <c r="AD277" s="8"/>
      <c r="AE277" s="8"/>
      <c r="AF277" s="8"/>
      <c r="AI277" s="9"/>
      <c r="AN277" s="9"/>
      <c r="AP277" s="8"/>
      <c r="AQ277" s="10"/>
      <c r="AR277" s="10"/>
      <c r="AS277" s="8"/>
      <c r="AT277" s="8"/>
      <c r="AU277" s="8"/>
    </row>
    <row r="278" spans="20:47" x14ac:dyDescent="0.4">
      <c r="T278" s="5"/>
      <c r="U278" s="8"/>
      <c r="V278" s="8"/>
      <c r="X278" s="5"/>
      <c r="AB278" s="5"/>
      <c r="AC278" s="8"/>
      <c r="AD278" s="8"/>
      <c r="AE278" s="8"/>
      <c r="AF278" s="8"/>
      <c r="AI278" s="9"/>
      <c r="AN278" s="9"/>
      <c r="AP278" s="8"/>
      <c r="AQ278" s="10"/>
      <c r="AR278" s="10"/>
      <c r="AS278" s="8"/>
      <c r="AT278" s="8"/>
      <c r="AU278" s="8"/>
    </row>
    <row r="279" spans="20:47" x14ac:dyDescent="0.4">
      <c r="T279" s="5"/>
      <c r="U279" s="8"/>
      <c r="V279" s="8"/>
      <c r="X279" s="5"/>
      <c r="AB279" s="5"/>
      <c r="AC279" s="8"/>
      <c r="AD279" s="8"/>
      <c r="AE279" s="8"/>
      <c r="AF279" s="8"/>
      <c r="AI279" s="9"/>
      <c r="AN279" s="9"/>
      <c r="AP279" s="8"/>
      <c r="AQ279" s="10"/>
      <c r="AR279" s="10"/>
      <c r="AS279" s="8"/>
      <c r="AT279" s="8"/>
      <c r="AU279" s="8"/>
    </row>
    <row r="280" spans="20:47" x14ac:dyDescent="0.4">
      <c r="T280" s="5"/>
      <c r="U280" s="8"/>
      <c r="V280" s="8"/>
      <c r="X280" s="5"/>
      <c r="AB280" s="5"/>
      <c r="AC280" s="8"/>
      <c r="AD280" s="8"/>
      <c r="AE280" s="8"/>
      <c r="AF280" s="8"/>
      <c r="AI280" s="9"/>
      <c r="AN280" s="9"/>
      <c r="AP280" s="8"/>
      <c r="AQ280" s="10"/>
      <c r="AR280" s="10"/>
      <c r="AS280" s="8"/>
      <c r="AT280" s="8"/>
      <c r="AU280" s="8"/>
    </row>
    <row r="281" spans="20:47" x14ac:dyDescent="0.4">
      <c r="T281" s="5"/>
      <c r="U281" s="8"/>
      <c r="V281" s="8"/>
      <c r="X281" s="5"/>
      <c r="AB281" s="5"/>
      <c r="AC281" s="8"/>
      <c r="AD281" s="8"/>
      <c r="AE281" s="8"/>
      <c r="AF281" s="8"/>
      <c r="AI281" s="9"/>
      <c r="AN281" s="9"/>
      <c r="AP281" s="8"/>
      <c r="AQ281" s="10"/>
      <c r="AR281" s="10"/>
      <c r="AS281" s="8"/>
      <c r="AT281" s="8"/>
      <c r="AU281" s="8"/>
    </row>
    <row r="282" spans="20:47" x14ac:dyDescent="0.4">
      <c r="T282" s="5"/>
      <c r="U282" s="8"/>
      <c r="V282" s="8"/>
      <c r="X282" s="5"/>
      <c r="AB282" s="5"/>
      <c r="AC282" s="8"/>
      <c r="AD282" s="8"/>
      <c r="AE282" s="8"/>
      <c r="AF282" s="8"/>
      <c r="AI282" s="9"/>
      <c r="AN282" s="9"/>
      <c r="AP282" s="8"/>
      <c r="AQ282" s="10"/>
      <c r="AR282" s="10"/>
      <c r="AS282" s="8"/>
      <c r="AT282" s="8"/>
      <c r="AU282" s="8"/>
    </row>
    <row r="283" spans="20:47" x14ac:dyDescent="0.4">
      <c r="T283" s="5"/>
      <c r="U283" s="8"/>
      <c r="V283" s="8"/>
      <c r="X283" s="5"/>
      <c r="AB283" s="5"/>
      <c r="AC283" s="8"/>
      <c r="AD283" s="8"/>
      <c r="AE283" s="8"/>
      <c r="AF283" s="8"/>
      <c r="AI283" s="9"/>
      <c r="AN283" s="9"/>
      <c r="AP283" s="8"/>
      <c r="AQ283" s="10"/>
      <c r="AR283" s="10"/>
      <c r="AS283" s="8"/>
      <c r="AT283" s="8"/>
      <c r="AU283" s="8"/>
    </row>
    <row r="284" spans="20:47" x14ac:dyDescent="0.4">
      <c r="T284" s="5"/>
      <c r="U284" s="8"/>
      <c r="V284" s="8"/>
      <c r="X284" s="5"/>
      <c r="AB284" s="5"/>
      <c r="AC284" s="8"/>
      <c r="AD284" s="8"/>
      <c r="AE284" s="8"/>
      <c r="AF284" s="8"/>
      <c r="AI284" s="9"/>
      <c r="AN284" s="9"/>
      <c r="AP284" s="8"/>
      <c r="AQ284" s="10"/>
      <c r="AR284" s="10"/>
      <c r="AS284" s="8"/>
      <c r="AT284" s="8"/>
      <c r="AU284" s="8"/>
    </row>
    <row r="285" spans="20:47" x14ac:dyDescent="0.4">
      <c r="T285" s="5"/>
      <c r="U285" s="8"/>
      <c r="V285" s="8"/>
      <c r="X285" s="5"/>
      <c r="AB285" s="5"/>
      <c r="AC285" s="8"/>
      <c r="AD285" s="8"/>
      <c r="AE285" s="8"/>
      <c r="AF285" s="8"/>
      <c r="AI285" s="9"/>
      <c r="AN285" s="9"/>
      <c r="AP285" s="8"/>
      <c r="AQ285" s="10"/>
      <c r="AR285" s="10"/>
      <c r="AS285" s="8"/>
      <c r="AT285" s="8"/>
      <c r="AU285" s="8"/>
    </row>
    <row r="286" spans="20:47" x14ac:dyDescent="0.4">
      <c r="T286" s="5"/>
      <c r="U286" s="8"/>
      <c r="V286" s="8"/>
      <c r="X286" s="5"/>
      <c r="AB286" s="5"/>
      <c r="AC286" s="8"/>
      <c r="AD286" s="8"/>
      <c r="AE286" s="8"/>
      <c r="AF286" s="8"/>
      <c r="AI286" s="9"/>
      <c r="AN286" s="9"/>
      <c r="AP286" s="8"/>
      <c r="AQ286" s="10"/>
      <c r="AR286" s="10"/>
      <c r="AS286" s="8"/>
      <c r="AT286" s="8"/>
      <c r="AU286" s="8"/>
    </row>
    <row r="287" spans="20:47" x14ac:dyDescent="0.4">
      <c r="T287" s="5"/>
      <c r="U287" s="8"/>
      <c r="V287" s="8"/>
      <c r="X287" s="5"/>
      <c r="AB287" s="5"/>
      <c r="AC287" s="8"/>
      <c r="AD287" s="8"/>
      <c r="AE287" s="8"/>
      <c r="AF287" s="8"/>
      <c r="AI287" s="9"/>
      <c r="AN287" s="9"/>
      <c r="AP287" s="8"/>
      <c r="AQ287" s="10"/>
      <c r="AR287" s="10"/>
      <c r="AS287" s="8"/>
      <c r="AT287" s="8"/>
      <c r="AU287" s="8"/>
    </row>
    <row r="288" spans="20:47" x14ac:dyDescent="0.4">
      <c r="T288" s="5"/>
      <c r="U288" s="8"/>
      <c r="V288" s="8"/>
      <c r="X288" s="5"/>
      <c r="AB288" s="5"/>
      <c r="AC288" s="8"/>
      <c r="AD288" s="8"/>
      <c r="AE288" s="8"/>
      <c r="AF288" s="8"/>
      <c r="AI288" s="9"/>
      <c r="AN288" s="9"/>
      <c r="AP288" s="8"/>
      <c r="AQ288" s="10"/>
      <c r="AR288" s="10"/>
      <c r="AS288" s="8"/>
      <c r="AT288" s="8"/>
      <c r="AU288" s="8"/>
    </row>
    <row r="289" spans="20:47" x14ac:dyDescent="0.4">
      <c r="T289" s="5"/>
      <c r="U289" s="8"/>
      <c r="V289" s="8"/>
      <c r="X289" s="5"/>
      <c r="AB289" s="5"/>
      <c r="AC289" s="8"/>
      <c r="AD289" s="8"/>
      <c r="AE289" s="8"/>
      <c r="AF289" s="8"/>
      <c r="AI289" s="9"/>
      <c r="AN289" s="9"/>
      <c r="AP289" s="8"/>
      <c r="AQ289" s="10"/>
      <c r="AR289" s="10"/>
      <c r="AS289" s="8"/>
      <c r="AT289" s="8"/>
      <c r="AU289" s="8"/>
    </row>
    <row r="290" spans="20:47" x14ac:dyDescent="0.4">
      <c r="T290" s="5"/>
      <c r="U290" s="8"/>
      <c r="V290" s="8"/>
      <c r="X290" s="5"/>
      <c r="AB290" s="5"/>
      <c r="AC290" s="8"/>
      <c r="AD290" s="8"/>
      <c r="AE290" s="8"/>
      <c r="AF290" s="8"/>
      <c r="AI290" s="9"/>
      <c r="AN290" s="9"/>
      <c r="AP290" s="8"/>
      <c r="AQ290" s="10"/>
      <c r="AR290" s="10"/>
      <c r="AS290" s="8"/>
      <c r="AT290" s="8"/>
      <c r="AU290" s="8"/>
    </row>
    <row r="291" spans="20:47" x14ac:dyDescent="0.4">
      <c r="T291" s="5"/>
      <c r="U291" s="8"/>
      <c r="V291" s="8"/>
      <c r="X291" s="5"/>
      <c r="AB291" s="5"/>
      <c r="AC291" s="8"/>
      <c r="AD291" s="8"/>
      <c r="AE291" s="8"/>
      <c r="AF291" s="8"/>
      <c r="AI291" s="9"/>
      <c r="AN291" s="9"/>
      <c r="AP291" s="8"/>
      <c r="AQ291" s="10"/>
      <c r="AR291" s="10"/>
      <c r="AS291" s="8"/>
      <c r="AT291" s="8"/>
      <c r="AU291" s="8"/>
    </row>
    <row r="292" spans="20:47" x14ac:dyDescent="0.4">
      <c r="T292" s="5"/>
      <c r="U292" s="8"/>
      <c r="V292" s="8"/>
      <c r="X292" s="5"/>
      <c r="AB292" s="5"/>
      <c r="AC292" s="8"/>
      <c r="AD292" s="8"/>
      <c r="AE292" s="8"/>
      <c r="AF292" s="8"/>
      <c r="AI292" s="9"/>
      <c r="AN292" s="9"/>
      <c r="AP292" s="8"/>
      <c r="AQ292" s="10"/>
      <c r="AR292" s="10"/>
      <c r="AS292" s="8"/>
      <c r="AT292" s="8"/>
      <c r="AU292" s="8"/>
    </row>
    <row r="293" spans="20:47" x14ac:dyDescent="0.4">
      <c r="T293" s="5"/>
      <c r="U293" s="8"/>
      <c r="V293" s="8"/>
      <c r="X293" s="5"/>
      <c r="AB293" s="5"/>
      <c r="AC293" s="8"/>
      <c r="AD293" s="8"/>
      <c r="AE293" s="8"/>
      <c r="AF293" s="8"/>
      <c r="AI293" s="9"/>
      <c r="AN293" s="9"/>
      <c r="AP293" s="8"/>
      <c r="AQ293" s="10"/>
      <c r="AR293" s="10"/>
      <c r="AS293" s="8"/>
      <c r="AT293" s="8"/>
      <c r="AU293" s="8"/>
    </row>
    <row r="294" spans="20:47" x14ac:dyDescent="0.4">
      <c r="T294" s="5"/>
      <c r="U294" s="8"/>
      <c r="V294" s="8"/>
      <c r="X294" s="5"/>
      <c r="AB294" s="5"/>
      <c r="AC294" s="8"/>
      <c r="AD294" s="8"/>
      <c r="AE294" s="8"/>
      <c r="AF294" s="8"/>
      <c r="AI294" s="9"/>
      <c r="AN294" s="9"/>
      <c r="AP294" s="8"/>
      <c r="AQ294" s="10"/>
      <c r="AR294" s="10"/>
      <c r="AS294" s="8"/>
      <c r="AT294" s="8"/>
      <c r="AU294" s="8"/>
    </row>
    <row r="295" spans="20:47" x14ac:dyDescent="0.4">
      <c r="T295" s="5"/>
      <c r="U295" s="8"/>
      <c r="V295" s="8"/>
      <c r="X295" s="5"/>
      <c r="AB295" s="5"/>
      <c r="AC295" s="8"/>
      <c r="AD295" s="8"/>
      <c r="AE295" s="8"/>
      <c r="AF295" s="8"/>
      <c r="AI295" s="9"/>
      <c r="AN295" s="9"/>
      <c r="AP295" s="8"/>
      <c r="AQ295" s="10"/>
      <c r="AR295" s="10"/>
      <c r="AS295" s="8"/>
      <c r="AT295" s="8"/>
      <c r="AU295" s="8"/>
    </row>
    <row r="296" spans="20:47" x14ac:dyDescent="0.4">
      <c r="T296" s="5"/>
      <c r="U296" s="8"/>
      <c r="V296" s="8"/>
      <c r="X296" s="5"/>
      <c r="AB296" s="5"/>
      <c r="AC296" s="8"/>
      <c r="AD296" s="8"/>
      <c r="AE296" s="8"/>
      <c r="AF296" s="8"/>
      <c r="AI296" s="9"/>
      <c r="AN296" s="9"/>
      <c r="AP296" s="8"/>
      <c r="AQ296" s="10"/>
      <c r="AR296" s="10"/>
      <c r="AS296" s="8"/>
      <c r="AT296" s="8"/>
      <c r="AU296" s="8"/>
    </row>
    <row r="297" spans="20:47" x14ac:dyDescent="0.4">
      <c r="T297" s="5"/>
      <c r="U297" s="8"/>
      <c r="V297" s="8"/>
      <c r="X297" s="5"/>
      <c r="AB297" s="5"/>
      <c r="AC297" s="8"/>
      <c r="AD297" s="8"/>
      <c r="AE297" s="8"/>
      <c r="AF297" s="8"/>
      <c r="AI297" s="9"/>
      <c r="AN297" s="9"/>
      <c r="AP297" s="8"/>
      <c r="AQ297" s="10"/>
      <c r="AR297" s="10"/>
      <c r="AS297" s="8"/>
      <c r="AT297" s="8"/>
      <c r="AU297" s="8"/>
    </row>
    <row r="298" spans="20:47" x14ac:dyDescent="0.4">
      <c r="T298" s="5"/>
      <c r="U298" s="8"/>
      <c r="V298" s="8"/>
      <c r="X298" s="5"/>
      <c r="AB298" s="5"/>
      <c r="AC298" s="8"/>
      <c r="AD298" s="8"/>
      <c r="AE298" s="8"/>
      <c r="AF298" s="8"/>
      <c r="AI298" s="9"/>
      <c r="AN298" s="9"/>
      <c r="AP298" s="8"/>
      <c r="AQ298" s="10"/>
      <c r="AR298" s="10"/>
      <c r="AS298" s="8"/>
      <c r="AT298" s="8"/>
      <c r="AU298" s="8"/>
    </row>
    <row r="299" spans="20:47" x14ac:dyDescent="0.4">
      <c r="T299" s="5"/>
      <c r="U299" s="8"/>
      <c r="V299" s="8"/>
      <c r="X299" s="5"/>
      <c r="AB299" s="5"/>
      <c r="AC299" s="8"/>
      <c r="AD299" s="8"/>
      <c r="AE299" s="8"/>
      <c r="AF299" s="8"/>
      <c r="AI299" s="9"/>
      <c r="AN299" s="9"/>
      <c r="AP299" s="8"/>
      <c r="AQ299" s="10"/>
      <c r="AR299" s="10"/>
      <c r="AS299" s="8"/>
      <c r="AT299" s="8"/>
      <c r="AU299" s="8"/>
    </row>
    <row r="300" spans="20:47" x14ac:dyDescent="0.4">
      <c r="T300" s="5"/>
      <c r="U300" s="8"/>
      <c r="V300" s="8"/>
      <c r="X300" s="5"/>
      <c r="AB300" s="5"/>
      <c r="AC300" s="8"/>
      <c r="AD300" s="8"/>
      <c r="AE300" s="8"/>
      <c r="AF300" s="8"/>
      <c r="AI300" s="9"/>
      <c r="AN300" s="9"/>
      <c r="AP300" s="8"/>
      <c r="AQ300" s="10"/>
      <c r="AR300" s="10"/>
      <c r="AS300" s="8"/>
      <c r="AT300" s="8"/>
      <c r="AU300" s="8"/>
    </row>
    <row r="301" spans="20:47" x14ac:dyDescent="0.4">
      <c r="T301" s="5"/>
      <c r="U301" s="8"/>
      <c r="V301" s="8"/>
      <c r="X301" s="5"/>
      <c r="AB301" s="5"/>
      <c r="AC301" s="8"/>
      <c r="AD301" s="8"/>
      <c r="AE301" s="8"/>
      <c r="AF301" s="8"/>
      <c r="AI301" s="9"/>
      <c r="AN301" s="9"/>
      <c r="AP301" s="8"/>
      <c r="AQ301" s="10"/>
      <c r="AR301" s="10"/>
      <c r="AS301" s="8"/>
      <c r="AT301" s="8"/>
      <c r="AU301" s="8"/>
    </row>
    <row r="302" spans="20:47" x14ac:dyDescent="0.4">
      <c r="T302" s="5"/>
      <c r="U302" s="8"/>
      <c r="V302" s="8"/>
      <c r="X302" s="5"/>
      <c r="AB302" s="5"/>
      <c r="AC302" s="8"/>
      <c r="AD302" s="8"/>
      <c r="AE302" s="8"/>
      <c r="AF302" s="8"/>
      <c r="AI302" s="9"/>
      <c r="AN302" s="9"/>
      <c r="AP302" s="8"/>
      <c r="AQ302" s="10"/>
      <c r="AR302" s="10"/>
      <c r="AS302" s="8"/>
      <c r="AT302" s="8"/>
      <c r="AU302" s="8"/>
    </row>
    <row r="303" spans="20:47" x14ac:dyDescent="0.4">
      <c r="T303" s="5"/>
      <c r="U303" s="8"/>
      <c r="V303" s="8"/>
      <c r="X303" s="5"/>
      <c r="AB303" s="5"/>
      <c r="AC303" s="8"/>
      <c r="AD303" s="8"/>
      <c r="AE303" s="8"/>
      <c r="AF303" s="8"/>
      <c r="AI303" s="9"/>
      <c r="AN303" s="9"/>
      <c r="AP303" s="8"/>
      <c r="AQ303" s="10"/>
      <c r="AR303" s="10"/>
      <c r="AS303" s="8"/>
      <c r="AT303" s="8"/>
      <c r="AU303" s="8"/>
    </row>
    <row r="304" spans="20:47" x14ac:dyDescent="0.4">
      <c r="T304" s="5"/>
      <c r="U304" s="8"/>
      <c r="V304" s="8"/>
      <c r="X304" s="5"/>
      <c r="AB304" s="5"/>
      <c r="AC304" s="8"/>
      <c r="AD304" s="8"/>
      <c r="AE304" s="8"/>
      <c r="AF304" s="8"/>
      <c r="AI304" s="9"/>
      <c r="AN304" s="9"/>
      <c r="AP304" s="8"/>
      <c r="AQ304" s="10"/>
      <c r="AR304" s="10"/>
      <c r="AS304" s="8"/>
      <c r="AT304" s="8"/>
      <c r="AU304" s="8"/>
    </row>
    <row r="305" spans="20:47" x14ac:dyDescent="0.4">
      <c r="T305" s="5"/>
      <c r="U305" s="8"/>
      <c r="V305" s="8"/>
      <c r="X305" s="5"/>
      <c r="AB305" s="5"/>
      <c r="AC305" s="8"/>
      <c r="AD305" s="8"/>
      <c r="AE305" s="8"/>
      <c r="AF305" s="8"/>
      <c r="AI305" s="9"/>
      <c r="AN305" s="9"/>
      <c r="AP305" s="8"/>
      <c r="AQ305" s="10"/>
      <c r="AR305" s="10"/>
      <c r="AS305" s="8"/>
      <c r="AT305" s="8"/>
      <c r="AU305" s="8"/>
    </row>
    <row r="306" spans="20:47" x14ac:dyDescent="0.4">
      <c r="T306" s="5"/>
      <c r="U306" s="8"/>
      <c r="V306" s="8"/>
      <c r="X306" s="5"/>
      <c r="AB306" s="5"/>
      <c r="AC306" s="8"/>
      <c r="AD306" s="8"/>
      <c r="AE306" s="8"/>
      <c r="AF306" s="8"/>
      <c r="AI306" s="9"/>
      <c r="AN306" s="9"/>
      <c r="AP306" s="8"/>
      <c r="AQ306" s="10"/>
      <c r="AR306" s="10"/>
      <c r="AS306" s="8"/>
      <c r="AT306" s="8"/>
      <c r="AU306" s="8"/>
    </row>
    <row r="307" spans="20:47" x14ac:dyDescent="0.4">
      <c r="T307" s="5"/>
      <c r="U307" s="8"/>
      <c r="V307" s="8"/>
      <c r="X307" s="5"/>
      <c r="AB307" s="5"/>
      <c r="AC307" s="8"/>
      <c r="AD307" s="8"/>
      <c r="AE307" s="8"/>
      <c r="AF307" s="8"/>
      <c r="AI307" s="9"/>
      <c r="AN307" s="9"/>
      <c r="AP307" s="8"/>
      <c r="AQ307" s="10"/>
      <c r="AR307" s="10"/>
      <c r="AS307" s="8"/>
      <c r="AT307" s="8"/>
      <c r="AU307" s="8"/>
    </row>
    <row r="308" spans="20:47" x14ac:dyDescent="0.4">
      <c r="T308" s="5"/>
      <c r="U308" s="8"/>
      <c r="V308" s="8"/>
      <c r="X308" s="5"/>
      <c r="AB308" s="5"/>
      <c r="AC308" s="8"/>
      <c r="AD308" s="8"/>
      <c r="AE308" s="8"/>
      <c r="AF308" s="8"/>
      <c r="AI308" s="9"/>
      <c r="AN308" s="9"/>
      <c r="AP308" s="8"/>
      <c r="AQ308" s="10"/>
      <c r="AR308" s="10"/>
      <c r="AS308" s="8"/>
      <c r="AT308" s="8"/>
      <c r="AU308" s="8"/>
    </row>
    <row r="309" spans="20:47" x14ac:dyDescent="0.4">
      <c r="T309" s="5"/>
      <c r="U309" s="8"/>
      <c r="V309" s="8"/>
      <c r="X309" s="5"/>
      <c r="AB309" s="5"/>
      <c r="AC309" s="8"/>
      <c r="AD309" s="8"/>
      <c r="AE309" s="8"/>
      <c r="AF309" s="8"/>
      <c r="AI309" s="9"/>
      <c r="AN309" s="9"/>
      <c r="AP309" s="8"/>
      <c r="AQ309" s="10"/>
      <c r="AR309" s="10"/>
      <c r="AS309" s="8"/>
      <c r="AT309" s="8"/>
      <c r="AU309" s="8"/>
    </row>
    <row r="310" spans="20:47" x14ac:dyDescent="0.4">
      <c r="T310" s="5"/>
      <c r="U310" s="8"/>
      <c r="V310" s="8"/>
      <c r="X310" s="5"/>
      <c r="AB310" s="5"/>
      <c r="AC310" s="8"/>
      <c r="AD310" s="8"/>
      <c r="AE310" s="8"/>
      <c r="AF310" s="8"/>
      <c r="AI310" s="9"/>
      <c r="AN310" s="9"/>
      <c r="AP310" s="8"/>
      <c r="AQ310" s="10"/>
      <c r="AR310" s="10"/>
      <c r="AS310" s="8"/>
      <c r="AT310" s="8"/>
      <c r="AU310" s="8"/>
    </row>
    <row r="311" spans="20:47" x14ac:dyDescent="0.4">
      <c r="T311" s="5"/>
      <c r="U311" s="8"/>
      <c r="V311" s="8"/>
      <c r="X311" s="5"/>
      <c r="AB311" s="5"/>
      <c r="AC311" s="8"/>
      <c r="AD311" s="8"/>
      <c r="AE311" s="8"/>
      <c r="AF311" s="8"/>
      <c r="AI311" s="9"/>
      <c r="AN311" s="9"/>
      <c r="AP311" s="8"/>
      <c r="AQ311" s="10"/>
      <c r="AR311" s="10"/>
      <c r="AS311" s="8"/>
      <c r="AT311" s="8"/>
      <c r="AU311" s="8"/>
    </row>
    <row r="312" spans="20:47" x14ac:dyDescent="0.4">
      <c r="T312" s="5"/>
      <c r="U312" s="8"/>
      <c r="V312" s="8"/>
      <c r="X312" s="5"/>
      <c r="AB312" s="5"/>
      <c r="AC312" s="8"/>
      <c r="AD312" s="8"/>
      <c r="AE312" s="8"/>
      <c r="AF312" s="8"/>
      <c r="AI312" s="9"/>
      <c r="AN312" s="9"/>
      <c r="AP312" s="8"/>
      <c r="AQ312" s="10"/>
      <c r="AR312" s="10"/>
      <c r="AS312" s="8"/>
      <c r="AT312" s="8"/>
      <c r="AU312" s="8"/>
    </row>
    <row r="313" spans="20:47" x14ac:dyDescent="0.4">
      <c r="T313" s="5"/>
      <c r="U313" s="8"/>
      <c r="V313" s="8"/>
      <c r="X313" s="5"/>
      <c r="AB313" s="5"/>
      <c r="AC313" s="8"/>
      <c r="AD313" s="8"/>
      <c r="AE313" s="8"/>
      <c r="AF313" s="8"/>
      <c r="AI313" s="9"/>
      <c r="AN313" s="9"/>
      <c r="AP313" s="8"/>
      <c r="AQ313" s="10"/>
      <c r="AR313" s="10"/>
      <c r="AS313" s="8"/>
      <c r="AT313" s="8"/>
      <c r="AU313" s="8"/>
    </row>
    <row r="314" spans="20:47" x14ac:dyDescent="0.4">
      <c r="T314" s="5"/>
      <c r="U314" s="8"/>
      <c r="V314" s="8"/>
      <c r="X314" s="5"/>
      <c r="AB314" s="5"/>
      <c r="AC314" s="8"/>
      <c r="AD314" s="8"/>
      <c r="AE314" s="8"/>
      <c r="AF314" s="8"/>
      <c r="AI314" s="9"/>
      <c r="AN314" s="9"/>
      <c r="AP314" s="8"/>
      <c r="AQ314" s="10"/>
      <c r="AR314" s="10"/>
      <c r="AS314" s="8"/>
      <c r="AT314" s="8"/>
      <c r="AU314" s="8"/>
    </row>
    <row r="315" spans="20:47" x14ac:dyDescent="0.4">
      <c r="T315" s="5"/>
      <c r="U315" s="8"/>
      <c r="V315" s="8"/>
      <c r="X315" s="5"/>
      <c r="AB315" s="5"/>
      <c r="AC315" s="8"/>
      <c r="AD315" s="8"/>
      <c r="AE315" s="8"/>
      <c r="AF315" s="8"/>
      <c r="AI315" s="9"/>
      <c r="AN315" s="9"/>
      <c r="AP315" s="8"/>
      <c r="AQ315" s="10"/>
      <c r="AR315" s="10"/>
      <c r="AS315" s="8"/>
      <c r="AT315" s="8"/>
      <c r="AU315" s="8"/>
    </row>
    <row r="316" spans="20:47" x14ac:dyDescent="0.4">
      <c r="T316" s="5"/>
      <c r="U316" s="8"/>
      <c r="V316" s="8"/>
      <c r="X316" s="5"/>
      <c r="AB316" s="5"/>
      <c r="AC316" s="8"/>
      <c r="AD316" s="8"/>
      <c r="AE316" s="8"/>
      <c r="AF316" s="8"/>
      <c r="AI316" s="9"/>
      <c r="AN316" s="9"/>
      <c r="AP316" s="8"/>
      <c r="AQ316" s="10"/>
      <c r="AR316" s="10"/>
      <c r="AS316" s="8"/>
      <c r="AT316" s="8"/>
      <c r="AU316" s="8"/>
    </row>
    <row r="317" spans="20:47" x14ac:dyDescent="0.4">
      <c r="T317" s="5"/>
      <c r="U317" s="8"/>
      <c r="V317" s="8"/>
      <c r="X317" s="5"/>
      <c r="AB317" s="5"/>
      <c r="AC317" s="8"/>
      <c r="AD317" s="8"/>
      <c r="AE317" s="8"/>
      <c r="AF317" s="8"/>
      <c r="AI317" s="9"/>
      <c r="AN317" s="9"/>
      <c r="AP317" s="8"/>
      <c r="AQ317" s="10"/>
      <c r="AR317" s="10"/>
      <c r="AS317" s="8"/>
      <c r="AT317" s="8"/>
      <c r="AU317" s="8"/>
    </row>
    <row r="318" spans="20:47" x14ac:dyDescent="0.4">
      <c r="T318" s="5"/>
      <c r="U318" s="8"/>
      <c r="V318" s="8"/>
      <c r="X318" s="5"/>
      <c r="AB318" s="5"/>
      <c r="AC318" s="8"/>
      <c r="AD318" s="8"/>
      <c r="AE318" s="8"/>
      <c r="AF318" s="8"/>
      <c r="AI318" s="9"/>
      <c r="AN318" s="9"/>
      <c r="AP318" s="8"/>
      <c r="AQ318" s="10"/>
      <c r="AR318" s="10"/>
      <c r="AS318" s="8"/>
      <c r="AT318" s="8"/>
      <c r="AU318" s="8"/>
    </row>
    <row r="319" spans="20:47" x14ac:dyDescent="0.4">
      <c r="T319" s="5"/>
      <c r="U319" s="8"/>
      <c r="V319" s="8"/>
      <c r="X319" s="5"/>
      <c r="AB319" s="5"/>
      <c r="AC319" s="8"/>
      <c r="AD319" s="8"/>
      <c r="AE319" s="8"/>
      <c r="AF319" s="8"/>
      <c r="AI319" s="9"/>
      <c r="AN319" s="9"/>
      <c r="AP319" s="8"/>
      <c r="AQ319" s="10"/>
      <c r="AR319" s="10"/>
      <c r="AS319" s="8"/>
      <c r="AT319" s="8"/>
      <c r="AU319" s="8"/>
    </row>
    <row r="320" spans="20:47" x14ac:dyDescent="0.4">
      <c r="T320" s="5"/>
      <c r="U320" s="8"/>
      <c r="V320" s="8"/>
      <c r="X320" s="5"/>
      <c r="AB320" s="5"/>
      <c r="AC320" s="8"/>
      <c r="AD320" s="8"/>
      <c r="AE320" s="8"/>
      <c r="AF320" s="8"/>
      <c r="AI320" s="9"/>
      <c r="AN320" s="9"/>
      <c r="AP320" s="8"/>
      <c r="AQ320" s="10"/>
      <c r="AR320" s="10"/>
      <c r="AS320" s="8"/>
      <c r="AT320" s="8"/>
      <c r="AU320" s="8"/>
    </row>
    <row r="321" spans="20:47" x14ac:dyDescent="0.4">
      <c r="T321" s="5"/>
      <c r="U321" s="8"/>
      <c r="V321" s="8"/>
      <c r="X321" s="5"/>
      <c r="AB321" s="5"/>
      <c r="AC321" s="8"/>
      <c r="AD321" s="8"/>
      <c r="AE321" s="8"/>
      <c r="AF321" s="8"/>
      <c r="AI321" s="9"/>
      <c r="AN321" s="9"/>
      <c r="AP321" s="8"/>
      <c r="AQ321" s="10"/>
      <c r="AR321" s="10"/>
      <c r="AS321" s="8"/>
      <c r="AT321" s="8"/>
      <c r="AU321" s="8"/>
    </row>
    <row r="322" spans="20:47" x14ac:dyDescent="0.4">
      <c r="T322" s="5"/>
      <c r="U322" s="8"/>
      <c r="V322" s="8"/>
      <c r="X322" s="5"/>
      <c r="AB322" s="5"/>
      <c r="AC322" s="8"/>
      <c r="AD322" s="8"/>
      <c r="AE322" s="8"/>
      <c r="AF322" s="8"/>
      <c r="AI322" s="9"/>
      <c r="AN322" s="9"/>
      <c r="AP322" s="8"/>
      <c r="AQ322" s="10"/>
      <c r="AR322" s="10"/>
      <c r="AS322" s="8"/>
      <c r="AT322" s="8"/>
      <c r="AU322" s="8"/>
    </row>
    <row r="323" spans="20:47" x14ac:dyDescent="0.4">
      <c r="T323" s="5"/>
      <c r="U323" s="8"/>
      <c r="V323" s="8"/>
      <c r="X323" s="5"/>
      <c r="AB323" s="5"/>
      <c r="AC323" s="8"/>
      <c r="AD323" s="8"/>
      <c r="AE323" s="8"/>
      <c r="AF323" s="8"/>
      <c r="AI323" s="9"/>
      <c r="AN323" s="9"/>
      <c r="AP323" s="8"/>
      <c r="AQ323" s="10"/>
      <c r="AR323" s="10"/>
      <c r="AS323" s="8"/>
      <c r="AT323" s="8"/>
      <c r="AU323" s="8"/>
    </row>
    <row r="324" spans="20:47" x14ac:dyDescent="0.4">
      <c r="T324" s="5"/>
      <c r="U324" s="8"/>
      <c r="V324" s="8"/>
      <c r="X324" s="5"/>
      <c r="AB324" s="5"/>
      <c r="AC324" s="8"/>
      <c r="AD324" s="8"/>
      <c r="AE324" s="8"/>
      <c r="AF324" s="8"/>
      <c r="AI324" s="9"/>
      <c r="AN324" s="9"/>
      <c r="AP324" s="8"/>
      <c r="AQ324" s="10"/>
      <c r="AR324" s="10"/>
      <c r="AS324" s="8"/>
      <c r="AT324" s="8"/>
      <c r="AU324" s="8"/>
    </row>
    <row r="325" spans="20:47" x14ac:dyDescent="0.4">
      <c r="T325" s="5"/>
      <c r="U325" s="8"/>
      <c r="V325" s="8"/>
      <c r="X325" s="5"/>
      <c r="AB325" s="5"/>
      <c r="AC325" s="8"/>
      <c r="AD325" s="8"/>
      <c r="AE325" s="8"/>
      <c r="AF325" s="8"/>
      <c r="AI325" s="9"/>
      <c r="AN325" s="9"/>
      <c r="AP325" s="8"/>
      <c r="AQ325" s="10"/>
      <c r="AR325" s="10"/>
      <c r="AS325" s="8"/>
      <c r="AT325" s="8"/>
      <c r="AU325" s="8"/>
    </row>
    <row r="326" spans="20:47" x14ac:dyDescent="0.4">
      <c r="T326" s="5"/>
      <c r="U326" s="8"/>
      <c r="V326" s="8"/>
      <c r="X326" s="5"/>
      <c r="AB326" s="5"/>
      <c r="AC326" s="8"/>
      <c r="AD326" s="8"/>
      <c r="AE326" s="8"/>
      <c r="AF326" s="8"/>
      <c r="AI326" s="9"/>
      <c r="AN326" s="9"/>
      <c r="AP326" s="8"/>
      <c r="AQ326" s="10"/>
      <c r="AR326" s="10"/>
      <c r="AS326" s="8"/>
      <c r="AT326" s="8"/>
      <c r="AU326" s="8"/>
    </row>
    <row r="327" spans="20:47" x14ac:dyDescent="0.4">
      <c r="T327" s="5"/>
      <c r="U327" s="8"/>
      <c r="V327" s="8"/>
      <c r="X327" s="5"/>
      <c r="AB327" s="5"/>
      <c r="AC327" s="8"/>
      <c r="AD327" s="8"/>
      <c r="AE327" s="8"/>
      <c r="AF327" s="8"/>
      <c r="AI327" s="9"/>
      <c r="AN327" s="9"/>
      <c r="AP327" s="8"/>
      <c r="AQ327" s="10"/>
      <c r="AR327" s="10"/>
      <c r="AS327" s="8"/>
      <c r="AT327" s="8"/>
      <c r="AU327" s="8"/>
    </row>
    <row r="328" spans="20:47" x14ac:dyDescent="0.4">
      <c r="T328" s="5"/>
      <c r="U328" s="8"/>
      <c r="V328" s="8"/>
      <c r="X328" s="5"/>
      <c r="AB328" s="5"/>
      <c r="AC328" s="8"/>
      <c r="AD328" s="8"/>
      <c r="AE328" s="8"/>
      <c r="AF328" s="8"/>
      <c r="AI328" s="9"/>
      <c r="AN328" s="9"/>
      <c r="AP328" s="8"/>
      <c r="AQ328" s="10"/>
      <c r="AR328" s="10"/>
      <c r="AS328" s="8"/>
      <c r="AT328" s="8"/>
      <c r="AU328" s="8"/>
    </row>
    <row r="329" spans="20:47" x14ac:dyDescent="0.4">
      <c r="T329" s="5"/>
      <c r="U329" s="8"/>
      <c r="V329" s="8"/>
      <c r="X329" s="5"/>
      <c r="AB329" s="5"/>
      <c r="AC329" s="8"/>
      <c r="AD329" s="8"/>
      <c r="AE329" s="8"/>
      <c r="AF329" s="8"/>
      <c r="AI329" s="9"/>
      <c r="AN329" s="9"/>
      <c r="AP329" s="8"/>
      <c r="AQ329" s="10"/>
      <c r="AR329" s="10"/>
      <c r="AS329" s="8"/>
      <c r="AT329" s="8"/>
      <c r="AU329" s="8"/>
    </row>
    <row r="330" spans="20:47" x14ac:dyDescent="0.4">
      <c r="T330" s="5"/>
      <c r="U330" s="8"/>
      <c r="V330" s="8"/>
      <c r="X330" s="5"/>
      <c r="AB330" s="5"/>
      <c r="AC330" s="8"/>
      <c r="AD330" s="8"/>
      <c r="AE330" s="8"/>
      <c r="AF330" s="8"/>
      <c r="AI330" s="9"/>
      <c r="AN330" s="9"/>
      <c r="AP330" s="8"/>
      <c r="AQ330" s="10"/>
      <c r="AR330" s="10"/>
      <c r="AS330" s="8"/>
      <c r="AT330" s="8"/>
      <c r="AU330" s="8"/>
    </row>
    <row r="331" spans="20:47" x14ac:dyDescent="0.4">
      <c r="T331" s="5"/>
      <c r="U331" s="8"/>
      <c r="V331" s="8"/>
      <c r="X331" s="5"/>
      <c r="AB331" s="5"/>
      <c r="AC331" s="8"/>
      <c r="AD331" s="8"/>
      <c r="AE331" s="8"/>
      <c r="AF331" s="8"/>
      <c r="AI331" s="9"/>
      <c r="AN331" s="9"/>
      <c r="AP331" s="8"/>
      <c r="AQ331" s="10"/>
      <c r="AR331" s="10"/>
      <c r="AS331" s="8"/>
      <c r="AT331" s="8"/>
      <c r="AU331" s="8"/>
    </row>
    <row r="332" spans="20:47" x14ac:dyDescent="0.4">
      <c r="T332" s="5"/>
      <c r="U332" s="8"/>
      <c r="V332" s="8"/>
      <c r="X332" s="5"/>
      <c r="AB332" s="5"/>
      <c r="AC332" s="8"/>
      <c r="AD332" s="8"/>
      <c r="AE332" s="8"/>
      <c r="AF332" s="8"/>
      <c r="AI332" s="9"/>
      <c r="AN332" s="9"/>
      <c r="AP332" s="8"/>
      <c r="AQ332" s="10"/>
      <c r="AR332" s="10"/>
      <c r="AS332" s="8"/>
      <c r="AT332" s="8"/>
      <c r="AU332" s="8"/>
    </row>
    <row r="333" spans="20:47" x14ac:dyDescent="0.4">
      <c r="T333" s="5"/>
      <c r="U333" s="8"/>
      <c r="V333" s="8"/>
      <c r="X333" s="5"/>
      <c r="AB333" s="5"/>
      <c r="AC333" s="8"/>
      <c r="AD333" s="8"/>
      <c r="AE333" s="8"/>
      <c r="AF333" s="8"/>
      <c r="AI333" s="9"/>
      <c r="AN333" s="9"/>
      <c r="AP333" s="8"/>
      <c r="AQ333" s="10"/>
      <c r="AR333" s="10"/>
      <c r="AS333" s="8"/>
      <c r="AT333" s="8"/>
      <c r="AU333" s="8"/>
    </row>
    <row r="334" spans="20:47" x14ac:dyDescent="0.4">
      <c r="T334" s="5"/>
      <c r="U334" s="8"/>
      <c r="V334" s="8"/>
      <c r="X334" s="5"/>
      <c r="AB334" s="5"/>
      <c r="AC334" s="8"/>
      <c r="AD334" s="8"/>
      <c r="AE334" s="8"/>
      <c r="AF334" s="8"/>
      <c r="AI334" s="9"/>
      <c r="AN334" s="9"/>
      <c r="AP334" s="8"/>
      <c r="AQ334" s="10"/>
      <c r="AR334" s="10"/>
      <c r="AS334" s="8"/>
      <c r="AT334" s="8"/>
      <c r="AU334" s="8"/>
    </row>
    <row r="335" spans="20:47" x14ac:dyDescent="0.4">
      <c r="T335" s="5"/>
      <c r="U335" s="8"/>
      <c r="V335" s="8"/>
      <c r="X335" s="5"/>
      <c r="AB335" s="5"/>
      <c r="AC335" s="8"/>
      <c r="AD335" s="8"/>
      <c r="AE335" s="8"/>
      <c r="AF335" s="8"/>
      <c r="AI335" s="9"/>
      <c r="AN335" s="9"/>
      <c r="AP335" s="8"/>
      <c r="AQ335" s="10"/>
      <c r="AR335" s="10"/>
      <c r="AS335" s="8"/>
      <c r="AT335" s="8"/>
      <c r="AU335" s="8"/>
    </row>
    <row r="336" spans="20:47" x14ac:dyDescent="0.4">
      <c r="T336" s="5"/>
      <c r="U336" s="8"/>
      <c r="V336" s="8"/>
      <c r="X336" s="5"/>
      <c r="AB336" s="5"/>
      <c r="AC336" s="8"/>
      <c r="AD336" s="8"/>
      <c r="AE336" s="8"/>
      <c r="AF336" s="8"/>
      <c r="AI336" s="9"/>
      <c r="AN336" s="9"/>
      <c r="AP336" s="8"/>
      <c r="AQ336" s="10"/>
      <c r="AR336" s="10"/>
      <c r="AS336" s="8"/>
      <c r="AT336" s="8"/>
      <c r="AU336" s="8"/>
    </row>
    <row r="337" spans="20:47" x14ac:dyDescent="0.4">
      <c r="T337" s="5"/>
      <c r="U337" s="8"/>
      <c r="V337" s="8"/>
      <c r="X337" s="5"/>
      <c r="AB337" s="5"/>
      <c r="AC337" s="8"/>
      <c r="AD337" s="8"/>
      <c r="AE337" s="8"/>
      <c r="AF337" s="8"/>
      <c r="AI337" s="9"/>
      <c r="AN337" s="9"/>
      <c r="AP337" s="8"/>
      <c r="AQ337" s="10"/>
      <c r="AR337" s="10"/>
      <c r="AS337" s="8"/>
      <c r="AT337" s="8"/>
      <c r="AU337" s="8"/>
    </row>
    <row r="338" spans="20:47" x14ac:dyDescent="0.4">
      <c r="T338" s="5"/>
      <c r="U338" s="8"/>
      <c r="V338" s="8"/>
      <c r="X338" s="5"/>
      <c r="AB338" s="5"/>
      <c r="AC338" s="8"/>
      <c r="AD338" s="8"/>
      <c r="AE338" s="8"/>
      <c r="AF338" s="8"/>
      <c r="AI338" s="9"/>
      <c r="AN338" s="9"/>
      <c r="AP338" s="8"/>
      <c r="AQ338" s="10"/>
      <c r="AR338" s="10"/>
      <c r="AS338" s="8"/>
      <c r="AT338" s="8"/>
      <c r="AU338" s="8"/>
    </row>
    <row r="339" spans="20:47" x14ac:dyDescent="0.4">
      <c r="T339" s="5"/>
      <c r="U339" s="8"/>
      <c r="V339" s="8"/>
      <c r="X339" s="5"/>
      <c r="AB339" s="5"/>
      <c r="AC339" s="8"/>
      <c r="AD339" s="8"/>
      <c r="AE339" s="8"/>
      <c r="AF339" s="8"/>
      <c r="AI339" s="9"/>
      <c r="AN339" s="9"/>
      <c r="AP339" s="8"/>
      <c r="AQ339" s="10"/>
      <c r="AR339" s="10"/>
      <c r="AS339" s="8"/>
      <c r="AT339" s="8"/>
      <c r="AU339" s="8"/>
    </row>
    <row r="340" spans="20:47" x14ac:dyDescent="0.4">
      <c r="T340" s="5"/>
      <c r="U340" s="8"/>
      <c r="V340" s="8"/>
      <c r="X340" s="5"/>
      <c r="AB340" s="5"/>
      <c r="AC340" s="8"/>
      <c r="AD340" s="8"/>
      <c r="AE340" s="8"/>
      <c r="AF340" s="8"/>
      <c r="AI340" s="9"/>
      <c r="AN340" s="9"/>
      <c r="AP340" s="8"/>
      <c r="AQ340" s="10"/>
      <c r="AR340" s="10"/>
      <c r="AS340" s="8"/>
      <c r="AT340" s="8"/>
      <c r="AU340" s="8"/>
    </row>
    <row r="341" spans="20:47" x14ac:dyDescent="0.4">
      <c r="T341" s="5"/>
      <c r="U341" s="8"/>
      <c r="V341" s="8"/>
      <c r="X341" s="5"/>
      <c r="AB341" s="5"/>
      <c r="AC341" s="8"/>
      <c r="AD341" s="8"/>
      <c r="AE341" s="8"/>
      <c r="AF341" s="8"/>
      <c r="AI341" s="9"/>
      <c r="AN341" s="9"/>
      <c r="AP341" s="8"/>
      <c r="AQ341" s="10"/>
      <c r="AR341" s="10"/>
      <c r="AS341" s="8"/>
      <c r="AT341" s="8"/>
      <c r="AU341" s="8"/>
    </row>
    <row r="342" spans="20:47" x14ac:dyDescent="0.4">
      <c r="T342" s="5"/>
      <c r="U342" s="8"/>
      <c r="V342" s="8"/>
      <c r="X342" s="5"/>
      <c r="AB342" s="5"/>
      <c r="AC342" s="8"/>
      <c r="AD342" s="8"/>
      <c r="AE342" s="8"/>
      <c r="AF342" s="8"/>
      <c r="AI342" s="9"/>
      <c r="AN342" s="9"/>
      <c r="AP342" s="8"/>
      <c r="AQ342" s="10"/>
      <c r="AR342" s="10"/>
      <c r="AS342" s="8"/>
      <c r="AT342" s="8"/>
      <c r="AU342" s="8"/>
    </row>
    <row r="343" spans="20:47" x14ac:dyDescent="0.4">
      <c r="T343" s="5"/>
      <c r="U343" s="8"/>
      <c r="V343" s="8"/>
      <c r="X343" s="5"/>
      <c r="AB343" s="5"/>
      <c r="AC343" s="8"/>
      <c r="AD343" s="8"/>
      <c r="AE343" s="8"/>
      <c r="AF343" s="8"/>
      <c r="AI343" s="9"/>
      <c r="AN343" s="9"/>
      <c r="AP343" s="8"/>
      <c r="AQ343" s="10"/>
      <c r="AR343" s="10"/>
      <c r="AS343" s="8"/>
      <c r="AT343" s="8"/>
      <c r="AU343" s="8"/>
    </row>
    <row r="344" spans="20:47" x14ac:dyDescent="0.4">
      <c r="T344" s="5"/>
      <c r="U344" s="8"/>
      <c r="V344" s="8"/>
      <c r="X344" s="5"/>
      <c r="AB344" s="5"/>
      <c r="AC344" s="8"/>
      <c r="AD344" s="8"/>
      <c r="AE344" s="8"/>
      <c r="AF344" s="8"/>
      <c r="AI344" s="9"/>
      <c r="AN344" s="9"/>
      <c r="AP344" s="8"/>
      <c r="AQ344" s="10"/>
      <c r="AR344" s="10"/>
      <c r="AS344" s="8"/>
      <c r="AT344" s="8"/>
      <c r="AU344" s="8"/>
    </row>
    <row r="345" spans="20:47" x14ac:dyDescent="0.4">
      <c r="T345" s="5"/>
      <c r="U345" s="8"/>
      <c r="V345" s="8"/>
      <c r="X345" s="5"/>
      <c r="AB345" s="5"/>
      <c r="AC345" s="8"/>
      <c r="AD345" s="8"/>
      <c r="AE345" s="8"/>
      <c r="AF345" s="8"/>
      <c r="AI345" s="9"/>
      <c r="AN345" s="9"/>
      <c r="AP345" s="8"/>
      <c r="AQ345" s="10"/>
      <c r="AR345" s="10"/>
      <c r="AS345" s="8"/>
      <c r="AT345" s="8"/>
      <c r="AU345" s="8"/>
    </row>
    <row r="346" spans="20:47" x14ac:dyDescent="0.4">
      <c r="T346" s="5"/>
      <c r="U346" s="8"/>
      <c r="V346" s="8"/>
      <c r="X346" s="5"/>
      <c r="AB346" s="5"/>
      <c r="AC346" s="8"/>
      <c r="AD346" s="8"/>
      <c r="AE346" s="8"/>
      <c r="AF346" s="8"/>
      <c r="AI346" s="9"/>
      <c r="AN346" s="9"/>
      <c r="AP346" s="8"/>
      <c r="AQ346" s="10"/>
      <c r="AR346" s="10"/>
      <c r="AS346" s="8"/>
      <c r="AT346" s="8"/>
      <c r="AU346" s="8"/>
    </row>
    <row r="347" spans="20:47" x14ac:dyDescent="0.4">
      <c r="T347" s="5"/>
      <c r="U347" s="8"/>
      <c r="V347" s="8"/>
      <c r="X347" s="5"/>
      <c r="AB347" s="5"/>
      <c r="AC347" s="8"/>
      <c r="AD347" s="8"/>
      <c r="AE347" s="8"/>
      <c r="AF347" s="8"/>
      <c r="AI347" s="9"/>
      <c r="AN347" s="9"/>
      <c r="AP347" s="8"/>
      <c r="AQ347" s="10"/>
      <c r="AR347" s="10"/>
      <c r="AS347" s="8"/>
      <c r="AT347" s="8"/>
      <c r="AU347" s="8"/>
    </row>
    <row r="348" spans="20:47" x14ac:dyDescent="0.4">
      <c r="T348" s="5"/>
      <c r="U348" s="8"/>
      <c r="V348" s="8"/>
      <c r="X348" s="5"/>
      <c r="AB348" s="5"/>
      <c r="AC348" s="8"/>
      <c r="AD348" s="8"/>
      <c r="AE348" s="8"/>
      <c r="AF348" s="8"/>
      <c r="AI348" s="9"/>
      <c r="AN348" s="9"/>
      <c r="AP348" s="8"/>
      <c r="AQ348" s="10"/>
      <c r="AR348" s="10"/>
      <c r="AS348" s="8"/>
      <c r="AT348" s="8"/>
      <c r="AU348" s="8"/>
    </row>
    <row r="349" spans="20:47" x14ac:dyDescent="0.4">
      <c r="T349" s="5"/>
      <c r="U349" s="8"/>
      <c r="V349" s="8"/>
      <c r="X349" s="5"/>
      <c r="AB349" s="5"/>
      <c r="AC349" s="8"/>
      <c r="AD349" s="8"/>
      <c r="AE349" s="8"/>
      <c r="AF349" s="8"/>
      <c r="AI349" s="9"/>
      <c r="AN349" s="9"/>
      <c r="AP349" s="8"/>
      <c r="AQ349" s="10"/>
      <c r="AR349" s="10"/>
      <c r="AS349" s="8"/>
      <c r="AT349" s="8"/>
      <c r="AU349" s="8"/>
    </row>
    <row r="350" spans="20:47" x14ac:dyDescent="0.4">
      <c r="T350" s="5"/>
      <c r="U350" s="8"/>
      <c r="V350" s="8"/>
      <c r="X350" s="5"/>
      <c r="AB350" s="5"/>
      <c r="AC350" s="8"/>
      <c r="AD350" s="8"/>
      <c r="AE350" s="8"/>
      <c r="AF350" s="8"/>
      <c r="AI350" s="9"/>
      <c r="AN350" s="9"/>
      <c r="AP350" s="8"/>
      <c r="AQ350" s="10"/>
      <c r="AR350" s="10"/>
      <c r="AS350" s="8"/>
      <c r="AT350" s="8"/>
      <c r="AU350" s="8"/>
    </row>
    <row r="351" spans="20:47" x14ac:dyDescent="0.4">
      <c r="T351" s="5"/>
      <c r="U351" s="8"/>
      <c r="V351" s="8"/>
      <c r="X351" s="5"/>
      <c r="AB351" s="5"/>
      <c r="AC351" s="8"/>
      <c r="AD351" s="8"/>
      <c r="AE351" s="8"/>
      <c r="AF351" s="8"/>
      <c r="AI351" s="9"/>
      <c r="AN351" s="9"/>
      <c r="AP351" s="8"/>
      <c r="AQ351" s="10"/>
      <c r="AR351" s="10"/>
      <c r="AS351" s="8"/>
      <c r="AT351" s="8"/>
      <c r="AU351" s="8"/>
    </row>
    <row r="352" spans="20:47" x14ac:dyDescent="0.4">
      <c r="T352" s="5"/>
      <c r="U352" s="8"/>
      <c r="V352" s="8"/>
      <c r="X352" s="5"/>
      <c r="AB352" s="5"/>
      <c r="AC352" s="8"/>
      <c r="AD352" s="8"/>
      <c r="AE352" s="8"/>
      <c r="AF352" s="8"/>
      <c r="AI352" s="9"/>
      <c r="AN352" s="9"/>
      <c r="AP352" s="8"/>
      <c r="AQ352" s="10"/>
      <c r="AR352" s="10"/>
      <c r="AS352" s="8"/>
      <c r="AT352" s="8"/>
      <c r="AU352" s="8"/>
    </row>
    <row r="353" spans="20:47" x14ac:dyDescent="0.4">
      <c r="T353" s="5"/>
      <c r="U353" s="8"/>
      <c r="V353" s="8"/>
      <c r="X353" s="5"/>
      <c r="AB353" s="5"/>
      <c r="AC353" s="8"/>
      <c r="AD353" s="8"/>
      <c r="AE353" s="8"/>
      <c r="AF353" s="8"/>
      <c r="AI353" s="9"/>
      <c r="AN353" s="9"/>
      <c r="AP353" s="8"/>
      <c r="AQ353" s="10"/>
      <c r="AR353" s="10"/>
      <c r="AS353" s="8"/>
      <c r="AT353" s="8"/>
      <c r="AU353" s="8"/>
    </row>
    <row r="354" spans="20:47" x14ac:dyDescent="0.4">
      <c r="T354" s="5"/>
      <c r="U354" s="8"/>
      <c r="V354" s="8"/>
      <c r="X354" s="5"/>
      <c r="AB354" s="5"/>
      <c r="AC354" s="8"/>
      <c r="AD354" s="8"/>
      <c r="AE354" s="8"/>
      <c r="AF354" s="8"/>
      <c r="AI354" s="9"/>
      <c r="AN354" s="9"/>
      <c r="AP354" s="8"/>
      <c r="AQ354" s="10"/>
      <c r="AR354" s="10"/>
      <c r="AS354" s="8"/>
      <c r="AT354" s="8"/>
      <c r="AU354" s="8"/>
    </row>
    <row r="355" spans="20:47" x14ac:dyDescent="0.4">
      <c r="T355" s="5"/>
      <c r="U355" s="8"/>
      <c r="V355" s="8"/>
      <c r="X355" s="5"/>
      <c r="AB355" s="5"/>
      <c r="AC355" s="8"/>
      <c r="AD355" s="8"/>
      <c r="AE355" s="8"/>
      <c r="AF355" s="8"/>
      <c r="AI355" s="9"/>
      <c r="AN355" s="9"/>
      <c r="AP355" s="8"/>
      <c r="AQ355" s="10"/>
      <c r="AR355" s="10"/>
      <c r="AS355" s="8"/>
      <c r="AT355" s="8"/>
      <c r="AU355" s="8"/>
    </row>
    <row r="356" spans="20:47" x14ac:dyDescent="0.4">
      <c r="T356" s="5"/>
      <c r="U356" s="8"/>
      <c r="V356" s="8"/>
      <c r="X356" s="5"/>
      <c r="AB356" s="5"/>
      <c r="AC356" s="8"/>
      <c r="AD356" s="8"/>
      <c r="AE356" s="8"/>
      <c r="AF356" s="8"/>
      <c r="AI356" s="9"/>
      <c r="AN356" s="9"/>
      <c r="AP356" s="8"/>
      <c r="AQ356" s="10"/>
      <c r="AR356" s="10"/>
      <c r="AS356" s="8"/>
      <c r="AT356" s="8"/>
      <c r="AU356" s="8"/>
    </row>
    <row r="357" spans="20:47" x14ac:dyDescent="0.4">
      <c r="T357" s="5"/>
      <c r="U357" s="8"/>
      <c r="V357" s="8"/>
      <c r="X357" s="5"/>
      <c r="AB357" s="5"/>
      <c r="AC357" s="8"/>
      <c r="AD357" s="8"/>
      <c r="AE357" s="8"/>
      <c r="AF357" s="8"/>
      <c r="AI357" s="9"/>
      <c r="AN357" s="9"/>
      <c r="AP357" s="8"/>
      <c r="AQ357" s="10"/>
      <c r="AR357" s="10"/>
      <c r="AS357" s="8"/>
      <c r="AT357" s="8"/>
      <c r="AU357" s="8"/>
    </row>
    <row r="358" spans="20:47" x14ac:dyDescent="0.4">
      <c r="T358" s="5"/>
      <c r="U358" s="8"/>
      <c r="V358" s="8"/>
      <c r="X358" s="5"/>
      <c r="AB358" s="5"/>
      <c r="AC358" s="8"/>
      <c r="AD358" s="8"/>
      <c r="AE358" s="8"/>
      <c r="AF358" s="8"/>
      <c r="AI358" s="9"/>
      <c r="AN358" s="9"/>
      <c r="AP358" s="8"/>
      <c r="AQ358" s="10"/>
      <c r="AR358" s="10"/>
      <c r="AS358" s="8"/>
      <c r="AT358" s="8"/>
      <c r="AU358" s="8"/>
    </row>
    <row r="359" spans="20:47" x14ac:dyDescent="0.4">
      <c r="T359" s="5"/>
      <c r="U359" s="8"/>
      <c r="V359" s="8"/>
      <c r="X359" s="5"/>
      <c r="AB359" s="5"/>
      <c r="AC359" s="8"/>
      <c r="AD359" s="8"/>
      <c r="AE359" s="8"/>
      <c r="AF359" s="8"/>
      <c r="AI359" s="9"/>
      <c r="AN359" s="9"/>
      <c r="AP359" s="8"/>
      <c r="AQ359" s="10"/>
      <c r="AR359" s="10"/>
      <c r="AS359" s="8"/>
      <c r="AT359" s="8"/>
      <c r="AU359" s="8"/>
    </row>
    <row r="360" spans="20:47" x14ac:dyDescent="0.4">
      <c r="T360" s="5"/>
      <c r="U360" s="8"/>
      <c r="V360" s="8"/>
      <c r="X360" s="5"/>
      <c r="AB360" s="5"/>
      <c r="AC360" s="8"/>
      <c r="AD360" s="8"/>
      <c r="AE360" s="8"/>
      <c r="AF360" s="8"/>
      <c r="AI360" s="9"/>
      <c r="AN360" s="9"/>
      <c r="AP360" s="8"/>
      <c r="AQ360" s="10"/>
      <c r="AR360" s="10"/>
      <c r="AS360" s="8"/>
      <c r="AT360" s="8"/>
      <c r="AU360" s="8"/>
    </row>
    <row r="361" spans="20:47" x14ac:dyDescent="0.4">
      <c r="T361" s="5"/>
      <c r="U361" s="8"/>
      <c r="V361" s="8"/>
      <c r="X361" s="5"/>
      <c r="AB361" s="5"/>
      <c r="AC361" s="8"/>
      <c r="AD361" s="8"/>
      <c r="AE361" s="8"/>
      <c r="AF361" s="8"/>
      <c r="AI361" s="9"/>
      <c r="AN361" s="9"/>
      <c r="AP361" s="8"/>
      <c r="AQ361" s="10"/>
      <c r="AR361" s="10"/>
      <c r="AS361" s="8"/>
      <c r="AT361" s="8"/>
      <c r="AU361" s="8"/>
    </row>
    <row r="362" spans="20:47" x14ac:dyDescent="0.4">
      <c r="T362" s="5"/>
      <c r="U362" s="8"/>
      <c r="V362" s="8"/>
      <c r="X362" s="5"/>
      <c r="AB362" s="5"/>
      <c r="AC362" s="8"/>
      <c r="AD362" s="8"/>
      <c r="AE362" s="8"/>
      <c r="AF362" s="8"/>
      <c r="AI362" s="9"/>
      <c r="AN362" s="9"/>
      <c r="AP362" s="8"/>
      <c r="AQ362" s="10"/>
      <c r="AR362" s="10"/>
      <c r="AS362" s="8"/>
      <c r="AT362" s="8"/>
      <c r="AU362" s="8"/>
    </row>
    <row r="363" spans="20:47" x14ac:dyDescent="0.4">
      <c r="T363" s="5"/>
      <c r="U363" s="8"/>
      <c r="V363" s="8"/>
      <c r="X363" s="5"/>
      <c r="AB363" s="5"/>
      <c r="AC363" s="8"/>
      <c r="AD363" s="8"/>
      <c r="AE363" s="8"/>
      <c r="AF363" s="8"/>
      <c r="AI363" s="9"/>
      <c r="AN363" s="9"/>
      <c r="AP363" s="8"/>
      <c r="AQ363" s="10"/>
      <c r="AR363" s="10"/>
      <c r="AS363" s="8"/>
      <c r="AT363" s="8"/>
      <c r="AU363" s="8"/>
    </row>
    <row r="364" spans="20:47" x14ac:dyDescent="0.4">
      <c r="T364" s="5"/>
      <c r="U364" s="8"/>
      <c r="V364" s="8"/>
      <c r="X364" s="5"/>
      <c r="AB364" s="5"/>
      <c r="AC364" s="8"/>
      <c r="AD364" s="8"/>
      <c r="AE364" s="8"/>
      <c r="AF364" s="8"/>
      <c r="AI364" s="9"/>
      <c r="AN364" s="9"/>
      <c r="AP364" s="8"/>
      <c r="AQ364" s="10"/>
      <c r="AR364" s="10"/>
      <c r="AS364" s="8"/>
      <c r="AT364" s="8"/>
      <c r="AU364" s="8"/>
    </row>
    <row r="365" spans="20:47" x14ac:dyDescent="0.4">
      <c r="T365" s="5"/>
      <c r="U365" s="8"/>
      <c r="V365" s="8"/>
      <c r="X365" s="5"/>
      <c r="AB365" s="5"/>
      <c r="AC365" s="8"/>
      <c r="AD365" s="8"/>
      <c r="AE365" s="8"/>
      <c r="AF365" s="8"/>
      <c r="AI365" s="9"/>
      <c r="AN365" s="9"/>
      <c r="AP365" s="8"/>
      <c r="AQ365" s="10"/>
      <c r="AR365" s="10"/>
      <c r="AS365" s="8"/>
      <c r="AT365" s="8"/>
      <c r="AU365" s="8"/>
    </row>
    <row r="366" spans="20:47" x14ac:dyDescent="0.4">
      <c r="T366" s="5"/>
      <c r="U366" s="8"/>
      <c r="V366" s="8"/>
      <c r="X366" s="5"/>
      <c r="AB366" s="5"/>
      <c r="AC366" s="8"/>
      <c r="AD366" s="8"/>
      <c r="AE366" s="8"/>
      <c r="AF366" s="8"/>
      <c r="AI366" s="9"/>
      <c r="AN366" s="9"/>
      <c r="AP366" s="8"/>
      <c r="AQ366" s="10"/>
      <c r="AR366" s="10"/>
      <c r="AS366" s="8"/>
      <c r="AT366" s="8"/>
      <c r="AU366" s="8"/>
    </row>
    <row r="367" spans="20:47" x14ac:dyDescent="0.4">
      <c r="T367" s="5"/>
      <c r="U367" s="8"/>
      <c r="V367" s="8"/>
      <c r="X367" s="5"/>
      <c r="AB367" s="5"/>
      <c r="AC367" s="8"/>
      <c r="AD367" s="8"/>
      <c r="AE367" s="8"/>
      <c r="AF367" s="8"/>
      <c r="AI367" s="9"/>
      <c r="AN367" s="9"/>
      <c r="AP367" s="8"/>
      <c r="AQ367" s="10"/>
      <c r="AR367" s="10"/>
      <c r="AS367" s="8"/>
      <c r="AT367" s="8"/>
      <c r="AU367" s="8"/>
    </row>
    <row r="368" spans="20:47" x14ac:dyDescent="0.4">
      <c r="T368" s="5"/>
      <c r="U368" s="8"/>
      <c r="V368" s="8"/>
      <c r="X368" s="5"/>
      <c r="AB368" s="5"/>
      <c r="AC368" s="8"/>
      <c r="AD368" s="8"/>
      <c r="AE368" s="8"/>
      <c r="AF368" s="8"/>
      <c r="AI368" s="9"/>
      <c r="AN368" s="9"/>
      <c r="AP368" s="8"/>
      <c r="AQ368" s="10"/>
      <c r="AR368" s="10"/>
      <c r="AS368" s="8"/>
      <c r="AT368" s="8"/>
      <c r="AU368" s="8"/>
    </row>
    <row r="369" spans="20:47" x14ac:dyDescent="0.4">
      <c r="T369" s="5"/>
      <c r="U369" s="8"/>
      <c r="V369" s="8"/>
      <c r="X369" s="5"/>
      <c r="AB369" s="5"/>
      <c r="AC369" s="8"/>
      <c r="AD369" s="8"/>
      <c r="AE369" s="8"/>
      <c r="AF369" s="8"/>
      <c r="AI369" s="9"/>
      <c r="AN369" s="9"/>
      <c r="AP369" s="8"/>
      <c r="AQ369" s="10"/>
      <c r="AR369" s="10"/>
      <c r="AS369" s="8"/>
      <c r="AT369" s="8"/>
      <c r="AU369" s="8"/>
    </row>
    <row r="370" spans="20:47" x14ac:dyDescent="0.4">
      <c r="T370" s="5"/>
      <c r="U370" s="8"/>
      <c r="V370" s="8"/>
      <c r="X370" s="5"/>
      <c r="AB370" s="5"/>
      <c r="AC370" s="8"/>
      <c r="AD370" s="8"/>
      <c r="AE370" s="8"/>
      <c r="AF370" s="8"/>
      <c r="AI370" s="9"/>
      <c r="AN370" s="9"/>
      <c r="AP370" s="8"/>
      <c r="AQ370" s="10"/>
      <c r="AR370" s="10"/>
      <c r="AS370" s="8"/>
      <c r="AT370" s="8"/>
      <c r="AU370" s="8"/>
    </row>
    <row r="371" spans="20:47" x14ac:dyDescent="0.4">
      <c r="T371" s="5"/>
      <c r="U371" s="8"/>
      <c r="V371" s="8"/>
      <c r="X371" s="5"/>
      <c r="AB371" s="5"/>
      <c r="AC371" s="8"/>
      <c r="AD371" s="8"/>
      <c r="AE371" s="8"/>
      <c r="AF371" s="8"/>
      <c r="AI371" s="9"/>
      <c r="AN371" s="9"/>
      <c r="AP371" s="8"/>
      <c r="AQ371" s="10"/>
      <c r="AR371" s="10"/>
      <c r="AS371" s="8"/>
      <c r="AT371" s="8"/>
      <c r="AU371" s="8"/>
    </row>
    <row r="372" spans="20:47" x14ac:dyDescent="0.4">
      <c r="T372" s="5"/>
      <c r="U372" s="8"/>
      <c r="V372" s="8"/>
      <c r="X372" s="5"/>
      <c r="AB372" s="5"/>
      <c r="AC372" s="8"/>
      <c r="AD372" s="8"/>
      <c r="AE372" s="8"/>
      <c r="AF372" s="8"/>
      <c r="AI372" s="9"/>
      <c r="AN372" s="9"/>
      <c r="AP372" s="8"/>
      <c r="AQ372" s="10"/>
      <c r="AR372" s="10"/>
      <c r="AS372" s="8"/>
      <c r="AT372" s="8"/>
      <c r="AU372" s="8"/>
    </row>
    <row r="373" spans="20:47" x14ac:dyDescent="0.4">
      <c r="T373" s="5"/>
      <c r="U373" s="8"/>
      <c r="V373" s="8"/>
      <c r="X373" s="5"/>
      <c r="AB373" s="5"/>
      <c r="AC373" s="8"/>
      <c r="AD373" s="8"/>
      <c r="AE373" s="8"/>
      <c r="AF373" s="8"/>
      <c r="AI373" s="9"/>
      <c r="AN373" s="9"/>
      <c r="AP373" s="8"/>
      <c r="AQ373" s="10"/>
      <c r="AR373" s="10"/>
      <c r="AS373" s="8"/>
      <c r="AT373" s="8"/>
      <c r="AU373" s="8"/>
    </row>
    <row r="374" spans="20:47" x14ac:dyDescent="0.4">
      <c r="T374" s="5"/>
      <c r="U374" s="8"/>
      <c r="V374" s="8"/>
      <c r="X374" s="5"/>
      <c r="AB374" s="5"/>
      <c r="AC374" s="8"/>
      <c r="AD374" s="8"/>
      <c r="AE374" s="8"/>
      <c r="AF374" s="8"/>
      <c r="AI374" s="9"/>
      <c r="AN374" s="9"/>
      <c r="AP374" s="8"/>
      <c r="AQ374" s="10"/>
      <c r="AR374" s="10"/>
      <c r="AS374" s="8"/>
      <c r="AT374" s="8"/>
      <c r="AU374" s="8"/>
    </row>
    <row r="375" spans="20:47" x14ac:dyDescent="0.4">
      <c r="T375" s="5"/>
      <c r="U375" s="8"/>
      <c r="V375" s="8"/>
      <c r="X375" s="5"/>
      <c r="AB375" s="5"/>
      <c r="AC375" s="8"/>
      <c r="AD375" s="8"/>
      <c r="AE375" s="8"/>
      <c r="AF375" s="8"/>
      <c r="AI375" s="9"/>
      <c r="AN375" s="9"/>
      <c r="AP375" s="8"/>
      <c r="AQ375" s="10"/>
      <c r="AR375" s="10"/>
      <c r="AS375" s="8"/>
      <c r="AT375" s="8"/>
      <c r="AU375" s="8"/>
    </row>
    <row r="376" spans="20:47" x14ac:dyDescent="0.4">
      <c r="T376" s="5"/>
      <c r="U376" s="8"/>
      <c r="V376" s="8"/>
      <c r="X376" s="5"/>
      <c r="AB376" s="5"/>
      <c r="AC376" s="8"/>
      <c r="AD376" s="8"/>
      <c r="AE376" s="8"/>
      <c r="AF376" s="8"/>
      <c r="AI376" s="9"/>
      <c r="AN376" s="9"/>
      <c r="AP376" s="8"/>
      <c r="AQ376" s="10"/>
      <c r="AR376" s="10"/>
      <c r="AS376" s="8"/>
      <c r="AT376" s="8"/>
      <c r="AU376" s="8"/>
    </row>
    <row r="377" spans="20:47" x14ac:dyDescent="0.4">
      <c r="T377" s="5"/>
      <c r="U377" s="8"/>
      <c r="V377" s="8"/>
      <c r="X377" s="5"/>
      <c r="AB377" s="5"/>
      <c r="AC377" s="8"/>
      <c r="AD377" s="8"/>
      <c r="AE377" s="8"/>
      <c r="AF377" s="8"/>
      <c r="AI377" s="9"/>
      <c r="AN377" s="9"/>
      <c r="AP377" s="8"/>
      <c r="AQ377" s="10"/>
      <c r="AR377" s="10"/>
      <c r="AS377" s="8"/>
      <c r="AT377" s="8"/>
      <c r="AU377" s="8"/>
    </row>
    <row r="378" spans="20:47" x14ac:dyDescent="0.4">
      <c r="T378" s="5"/>
      <c r="U378" s="8"/>
      <c r="V378" s="8"/>
      <c r="X378" s="5"/>
      <c r="AB378" s="5"/>
      <c r="AC378" s="8"/>
      <c r="AD378" s="8"/>
      <c r="AE378" s="8"/>
      <c r="AF378" s="8"/>
      <c r="AI378" s="9"/>
      <c r="AN378" s="9"/>
      <c r="AP378" s="8"/>
      <c r="AQ378" s="10"/>
      <c r="AR378" s="10"/>
      <c r="AS378" s="8"/>
      <c r="AT378" s="8"/>
      <c r="AU378" s="8"/>
    </row>
    <row r="379" spans="20:47" x14ac:dyDescent="0.4">
      <c r="T379" s="5"/>
      <c r="U379" s="8"/>
      <c r="V379" s="8"/>
      <c r="X379" s="5"/>
      <c r="AB379" s="5"/>
      <c r="AC379" s="8"/>
      <c r="AD379" s="8"/>
      <c r="AE379" s="8"/>
      <c r="AF379" s="8"/>
      <c r="AI379" s="9"/>
      <c r="AN379" s="9"/>
      <c r="AP379" s="8"/>
      <c r="AQ379" s="10"/>
      <c r="AR379" s="10"/>
      <c r="AS379" s="8"/>
      <c r="AT379" s="8"/>
      <c r="AU379" s="8"/>
    </row>
    <row r="380" spans="20:47" x14ac:dyDescent="0.4">
      <c r="T380" s="5"/>
      <c r="U380" s="8"/>
      <c r="V380" s="8"/>
      <c r="X380" s="5"/>
      <c r="AB380" s="5"/>
      <c r="AC380" s="8"/>
      <c r="AD380" s="8"/>
      <c r="AE380" s="8"/>
      <c r="AF380" s="8"/>
      <c r="AI380" s="9"/>
      <c r="AN380" s="9"/>
      <c r="AP380" s="8"/>
      <c r="AQ380" s="10"/>
      <c r="AR380" s="10"/>
      <c r="AS380" s="8"/>
      <c r="AT380" s="8"/>
      <c r="AU380" s="8"/>
    </row>
    <row r="381" spans="20:47" x14ac:dyDescent="0.4">
      <c r="T381" s="5"/>
      <c r="U381" s="8"/>
      <c r="V381" s="8"/>
      <c r="X381" s="5"/>
      <c r="AB381" s="5"/>
      <c r="AC381" s="8"/>
      <c r="AD381" s="8"/>
      <c r="AE381" s="8"/>
      <c r="AF381" s="8"/>
      <c r="AI381" s="9"/>
      <c r="AN381" s="9"/>
      <c r="AP381" s="8"/>
      <c r="AQ381" s="10"/>
      <c r="AR381" s="10"/>
      <c r="AS381" s="8"/>
      <c r="AT381" s="8"/>
      <c r="AU381" s="8"/>
    </row>
    <row r="382" spans="20:47" x14ac:dyDescent="0.4">
      <c r="T382" s="5"/>
      <c r="U382" s="8"/>
      <c r="V382" s="8"/>
      <c r="X382" s="5"/>
      <c r="AB382" s="5"/>
      <c r="AC382" s="8"/>
      <c r="AD382" s="8"/>
      <c r="AE382" s="8"/>
      <c r="AF382" s="8"/>
      <c r="AI382" s="9"/>
      <c r="AN382" s="9"/>
      <c r="AP382" s="8"/>
      <c r="AQ382" s="10"/>
      <c r="AR382" s="10"/>
      <c r="AS382" s="8"/>
      <c r="AT382" s="8"/>
      <c r="AU382" s="8"/>
    </row>
    <row r="383" spans="20:47" x14ac:dyDescent="0.4">
      <c r="T383" s="5"/>
      <c r="U383" s="8"/>
      <c r="V383" s="8"/>
      <c r="X383" s="5"/>
      <c r="AB383" s="5"/>
      <c r="AC383" s="8"/>
      <c r="AD383" s="8"/>
      <c r="AE383" s="8"/>
      <c r="AF383" s="8"/>
      <c r="AI383" s="9"/>
      <c r="AN383" s="9"/>
      <c r="AP383" s="8"/>
      <c r="AQ383" s="10"/>
      <c r="AR383" s="10"/>
      <c r="AS383" s="8"/>
      <c r="AT383" s="8"/>
      <c r="AU383" s="8"/>
    </row>
    <row r="384" spans="20:47" x14ac:dyDescent="0.4">
      <c r="T384" s="5"/>
      <c r="U384" s="8"/>
      <c r="V384" s="8"/>
      <c r="X384" s="5"/>
      <c r="AB384" s="5"/>
      <c r="AC384" s="8"/>
      <c r="AD384" s="8"/>
      <c r="AE384" s="8"/>
      <c r="AF384" s="8"/>
      <c r="AI384" s="9"/>
      <c r="AN384" s="9"/>
      <c r="AP384" s="8"/>
      <c r="AQ384" s="10"/>
      <c r="AR384" s="10"/>
      <c r="AS384" s="8"/>
      <c r="AT384" s="8"/>
      <c r="AU384" s="8"/>
    </row>
    <row r="385" spans="20:47" x14ac:dyDescent="0.4">
      <c r="T385" s="5"/>
      <c r="U385" s="8"/>
      <c r="V385" s="8"/>
      <c r="X385" s="5"/>
      <c r="AB385" s="5"/>
      <c r="AC385" s="8"/>
      <c r="AD385" s="8"/>
      <c r="AE385" s="8"/>
      <c r="AF385" s="8"/>
      <c r="AI385" s="9"/>
      <c r="AN385" s="9"/>
      <c r="AP385" s="8"/>
      <c r="AQ385" s="10"/>
      <c r="AR385" s="10"/>
      <c r="AS385" s="8"/>
      <c r="AT385" s="8"/>
      <c r="AU385" s="8"/>
    </row>
    <row r="386" spans="20:47" x14ac:dyDescent="0.4">
      <c r="T386" s="5"/>
      <c r="U386" s="8"/>
      <c r="V386" s="8"/>
      <c r="X386" s="5"/>
      <c r="AB386" s="5"/>
      <c r="AC386" s="8"/>
      <c r="AD386" s="8"/>
      <c r="AE386" s="8"/>
      <c r="AF386" s="8"/>
      <c r="AI386" s="9"/>
      <c r="AN386" s="9"/>
      <c r="AP386" s="8"/>
      <c r="AQ386" s="10"/>
      <c r="AR386" s="10"/>
      <c r="AS386" s="8"/>
      <c r="AT386" s="8"/>
      <c r="AU386" s="8"/>
    </row>
    <row r="387" spans="20:47" x14ac:dyDescent="0.4">
      <c r="T387" s="5"/>
      <c r="U387" s="8"/>
      <c r="V387" s="8"/>
      <c r="X387" s="5"/>
      <c r="AB387" s="5"/>
      <c r="AC387" s="8"/>
      <c r="AD387" s="8"/>
      <c r="AE387" s="8"/>
      <c r="AF387" s="8"/>
      <c r="AI387" s="9"/>
      <c r="AN387" s="9"/>
      <c r="AP387" s="8"/>
      <c r="AQ387" s="10"/>
      <c r="AR387" s="10"/>
      <c r="AS387" s="8"/>
      <c r="AT387" s="8"/>
      <c r="AU387" s="8"/>
    </row>
    <row r="388" spans="20:47" x14ac:dyDescent="0.4">
      <c r="T388" s="5"/>
      <c r="U388" s="8"/>
      <c r="V388" s="8"/>
      <c r="X388" s="5"/>
      <c r="AB388" s="5"/>
      <c r="AC388" s="8"/>
      <c r="AD388" s="8"/>
      <c r="AE388" s="8"/>
      <c r="AF388" s="8"/>
      <c r="AI388" s="9"/>
      <c r="AN388" s="9"/>
      <c r="AP388" s="8"/>
      <c r="AQ388" s="10"/>
      <c r="AR388" s="10"/>
      <c r="AS388" s="8"/>
      <c r="AT388" s="8"/>
      <c r="AU388" s="8"/>
    </row>
    <row r="389" spans="20:47" x14ac:dyDescent="0.4">
      <c r="T389" s="5"/>
      <c r="U389" s="8"/>
      <c r="V389" s="8"/>
      <c r="X389" s="5"/>
      <c r="AB389" s="5"/>
      <c r="AC389" s="8"/>
      <c r="AD389" s="8"/>
      <c r="AE389" s="8"/>
      <c r="AF389" s="8"/>
      <c r="AI389" s="9"/>
      <c r="AN389" s="9"/>
      <c r="AP389" s="8"/>
      <c r="AQ389" s="10"/>
      <c r="AR389" s="10"/>
      <c r="AS389" s="8"/>
      <c r="AT389" s="8"/>
      <c r="AU389" s="8"/>
    </row>
    <row r="390" spans="20:47" x14ac:dyDescent="0.4">
      <c r="T390" s="5"/>
      <c r="U390" s="8"/>
      <c r="V390" s="8"/>
      <c r="X390" s="5"/>
      <c r="AB390" s="5"/>
      <c r="AC390" s="8"/>
      <c r="AD390" s="8"/>
      <c r="AE390" s="8"/>
      <c r="AF390" s="8"/>
      <c r="AI390" s="9"/>
      <c r="AN390" s="9"/>
      <c r="AP390" s="8"/>
      <c r="AQ390" s="10"/>
      <c r="AR390" s="10"/>
      <c r="AS390" s="8"/>
      <c r="AT390" s="8"/>
      <c r="AU390" s="8"/>
    </row>
    <row r="391" spans="20:47" x14ac:dyDescent="0.4">
      <c r="T391" s="5"/>
      <c r="U391" s="8"/>
      <c r="V391" s="8"/>
      <c r="X391" s="5"/>
      <c r="AB391" s="5"/>
      <c r="AC391" s="8"/>
      <c r="AD391" s="8"/>
      <c r="AE391" s="8"/>
      <c r="AF391" s="8"/>
      <c r="AI391" s="9"/>
      <c r="AN391" s="9"/>
      <c r="AP391" s="8"/>
      <c r="AQ391" s="10"/>
      <c r="AR391" s="10"/>
      <c r="AS391" s="8"/>
      <c r="AT391" s="8"/>
      <c r="AU391" s="8"/>
    </row>
    <row r="392" spans="20:47" x14ac:dyDescent="0.4">
      <c r="T392" s="5"/>
      <c r="U392" s="8"/>
      <c r="V392" s="8"/>
      <c r="X392" s="5"/>
      <c r="AB392" s="5"/>
      <c r="AC392" s="8"/>
      <c r="AD392" s="8"/>
      <c r="AE392" s="8"/>
      <c r="AF392" s="8"/>
      <c r="AI392" s="9"/>
      <c r="AN392" s="9"/>
      <c r="AP392" s="8"/>
      <c r="AQ392" s="10"/>
      <c r="AR392" s="10"/>
      <c r="AS392" s="8"/>
      <c r="AT392" s="8"/>
      <c r="AU392" s="8"/>
    </row>
    <row r="393" spans="20:47" x14ac:dyDescent="0.4">
      <c r="T393" s="5"/>
      <c r="U393" s="8"/>
      <c r="V393" s="8"/>
      <c r="X393" s="5"/>
      <c r="AB393" s="5"/>
      <c r="AC393" s="8"/>
      <c r="AD393" s="8"/>
      <c r="AE393" s="8"/>
      <c r="AF393" s="8"/>
      <c r="AI393" s="9"/>
      <c r="AN393" s="9"/>
      <c r="AP393" s="8"/>
      <c r="AQ393" s="10"/>
      <c r="AR393" s="10"/>
      <c r="AS393" s="8"/>
      <c r="AT393" s="8"/>
      <c r="AU393" s="8"/>
    </row>
    <row r="394" spans="20:47" x14ac:dyDescent="0.4">
      <c r="T394" s="5"/>
      <c r="U394" s="8"/>
      <c r="V394" s="8"/>
      <c r="X394" s="5"/>
      <c r="AB394" s="5"/>
      <c r="AC394" s="8"/>
      <c r="AD394" s="8"/>
      <c r="AE394" s="8"/>
      <c r="AF394" s="8"/>
      <c r="AI394" s="9"/>
      <c r="AN394" s="9"/>
      <c r="AP394" s="8"/>
      <c r="AQ394" s="10"/>
      <c r="AR394" s="10"/>
      <c r="AS394" s="8"/>
      <c r="AT394" s="8"/>
      <c r="AU394" s="8"/>
    </row>
    <row r="395" spans="20:47" x14ac:dyDescent="0.4">
      <c r="T395" s="5"/>
      <c r="U395" s="8"/>
      <c r="V395" s="8"/>
      <c r="X395" s="5"/>
      <c r="AB395" s="5"/>
      <c r="AC395" s="8"/>
      <c r="AD395" s="8"/>
      <c r="AE395" s="8"/>
      <c r="AF395" s="8"/>
      <c r="AI395" s="9"/>
      <c r="AN395" s="9"/>
      <c r="AP395" s="8"/>
      <c r="AQ395" s="10"/>
      <c r="AR395" s="10"/>
      <c r="AS395" s="8"/>
      <c r="AT395" s="8"/>
      <c r="AU395" s="8"/>
    </row>
    <row r="396" spans="20:47" x14ac:dyDescent="0.4">
      <c r="T396" s="5"/>
      <c r="U396" s="8"/>
      <c r="V396" s="8"/>
      <c r="X396" s="5"/>
      <c r="AB396" s="5"/>
      <c r="AC396" s="8"/>
      <c r="AD396" s="8"/>
      <c r="AE396" s="8"/>
      <c r="AF396" s="8"/>
      <c r="AI396" s="9"/>
      <c r="AN396" s="9"/>
      <c r="AP396" s="8"/>
      <c r="AQ396" s="10"/>
      <c r="AR396" s="10"/>
      <c r="AS396" s="8"/>
      <c r="AT396" s="8"/>
      <c r="AU396" s="8"/>
    </row>
    <row r="397" spans="20:47" x14ac:dyDescent="0.4">
      <c r="T397" s="5"/>
      <c r="U397" s="8"/>
      <c r="V397" s="8"/>
      <c r="X397" s="5"/>
      <c r="AB397" s="5"/>
      <c r="AC397" s="8"/>
      <c r="AD397" s="8"/>
      <c r="AE397" s="8"/>
      <c r="AF397" s="8"/>
      <c r="AI397" s="9"/>
      <c r="AN397" s="9"/>
      <c r="AP397" s="8"/>
      <c r="AQ397" s="10"/>
      <c r="AR397" s="10"/>
      <c r="AS397" s="8"/>
      <c r="AT397" s="8"/>
      <c r="AU397" s="8"/>
    </row>
    <row r="398" spans="20:47" x14ac:dyDescent="0.4">
      <c r="T398" s="5"/>
      <c r="U398" s="8"/>
      <c r="V398" s="8"/>
      <c r="X398" s="5"/>
      <c r="AB398" s="5"/>
      <c r="AC398" s="8"/>
      <c r="AD398" s="8"/>
      <c r="AE398" s="8"/>
      <c r="AF398" s="8"/>
      <c r="AI398" s="9"/>
      <c r="AN398" s="9"/>
      <c r="AP398" s="8"/>
      <c r="AQ398" s="10"/>
      <c r="AR398" s="10"/>
      <c r="AS398" s="8"/>
      <c r="AT398" s="8"/>
      <c r="AU398" s="8"/>
    </row>
    <row r="399" spans="20:47" x14ac:dyDescent="0.4">
      <c r="T399" s="5"/>
      <c r="U399" s="8"/>
      <c r="V399" s="8"/>
      <c r="X399" s="5"/>
      <c r="AB399" s="5"/>
      <c r="AC399" s="8"/>
      <c r="AD399" s="8"/>
      <c r="AE399" s="8"/>
      <c r="AF399" s="8"/>
      <c r="AI399" s="9"/>
      <c r="AN399" s="9"/>
      <c r="AP399" s="8"/>
      <c r="AQ399" s="10"/>
      <c r="AR399" s="10"/>
      <c r="AS399" s="8"/>
      <c r="AT399" s="8"/>
      <c r="AU399" s="8"/>
    </row>
    <row r="400" spans="20:47" x14ac:dyDescent="0.4">
      <c r="T400" s="5"/>
      <c r="U400" s="8"/>
      <c r="V400" s="8"/>
      <c r="X400" s="5"/>
      <c r="AB400" s="5"/>
      <c r="AC400" s="8"/>
      <c r="AD400" s="8"/>
      <c r="AE400" s="8"/>
      <c r="AF400" s="8"/>
      <c r="AI400" s="9"/>
      <c r="AN400" s="9"/>
      <c r="AP400" s="8"/>
      <c r="AQ400" s="10"/>
      <c r="AR400" s="10"/>
      <c r="AS400" s="8"/>
      <c r="AT400" s="8"/>
      <c r="AU400" s="8"/>
    </row>
    <row r="401" spans="20:47" x14ac:dyDescent="0.4">
      <c r="T401" s="5"/>
      <c r="U401" s="8"/>
      <c r="V401" s="8"/>
      <c r="X401" s="5"/>
      <c r="AB401" s="5"/>
      <c r="AC401" s="8"/>
      <c r="AD401" s="8"/>
      <c r="AE401" s="8"/>
      <c r="AF401" s="8"/>
      <c r="AI401" s="9"/>
      <c r="AN401" s="9"/>
      <c r="AP401" s="8"/>
      <c r="AQ401" s="10"/>
      <c r="AR401" s="10"/>
      <c r="AS401" s="8"/>
      <c r="AT401" s="8"/>
      <c r="AU401" s="8"/>
    </row>
    <row r="402" spans="20:47" x14ac:dyDescent="0.4">
      <c r="T402" s="5"/>
      <c r="U402" s="8"/>
      <c r="V402" s="8"/>
      <c r="X402" s="5"/>
      <c r="AB402" s="5"/>
      <c r="AC402" s="8"/>
      <c r="AD402" s="8"/>
      <c r="AE402" s="8"/>
      <c r="AF402" s="8"/>
      <c r="AI402" s="9"/>
      <c r="AN402" s="9"/>
      <c r="AP402" s="8"/>
      <c r="AQ402" s="10"/>
      <c r="AR402" s="10"/>
      <c r="AS402" s="8"/>
      <c r="AT402" s="8"/>
      <c r="AU402" s="8"/>
    </row>
    <row r="403" spans="20:47" x14ac:dyDescent="0.4">
      <c r="T403" s="5"/>
      <c r="U403" s="8"/>
      <c r="V403" s="8"/>
      <c r="X403" s="5"/>
      <c r="AB403" s="5"/>
      <c r="AC403" s="8"/>
      <c r="AD403" s="8"/>
      <c r="AE403" s="8"/>
      <c r="AF403" s="8"/>
      <c r="AI403" s="9"/>
      <c r="AN403" s="9"/>
      <c r="AP403" s="8"/>
      <c r="AQ403" s="10"/>
      <c r="AR403" s="10"/>
      <c r="AS403" s="8"/>
      <c r="AT403" s="8"/>
      <c r="AU403" s="8"/>
    </row>
    <row r="404" spans="20:47" x14ac:dyDescent="0.4">
      <c r="T404" s="5"/>
      <c r="U404" s="8"/>
      <c r="V404" s="8"/>
      <c r="X404" s="5"/>
      <c r="AB404" s="5"/>
      <c r="AC404" s="8"/>
      <c r="AD404" s="8"/>
      <c r="AE404" s="8"/>
      <c r="AF404" s="8"/>
      <c r="AI404" s="9"/>
      <c r="AN404" s="9"/>
      <c r="AP404" s="8"/>
      <c r="AQ404" s="10"/>
      <c r="AR404" s="10"/>
      <c r="AS404" s="8"/>
      <c r="AT404" s="8"/>
      <c r="AU404" s="8"/>
    </row>
    <row r="405" spans="20:47" x14ac:dyDescent="0.4">
      <c r="T405" s="5"/>
      <c r="U405" s="8"/>
      <c r="V405" s="8"/>
      <c r="X405" s="5"/>
      <c r="AB405" s="5"/>
      <c r="AC405" s="8"/>
      <c r="AD405" s="8"/>
      <c r="AE405" s="8"/>
      <c r="AF405" s="8"/>
      <c r="AI405" s="9"/>
      <c r="AN405" s="9"/>
      <c r="AP405" s="8"/>
      <c r="AQ405" s="10"/>
      <c r="AR405" s="10"/>
      <c r="AS405" s="8"/>
      <c r="AT405" s="8"/>
      <c r="AU405" s="8"/>
    </row>
    <row r="406" spans="20:47" x14ac:dyDescent="0.4">
      <c r="T406" s="5"/>
      <c r="U406" s="8"/>
      <c r="V406" s="8"/>
      <c r="X406" s="5"/>
      <c r="AB406" s="5"/>
      <c r="AC406" s="8"/>
      <c r="AD406" s="8"/>
      <c r="AE406" s="8"/>
      <c r="AF406" s="8"/>
      <c r="AI406" s="9"/>
      <c r="AN406" s="9"/>
      <c r="AP406" s="8"/>
      <c r="AQ406" s="10"/>
      <c r="AR406" s="10"/>
      <c r="AS406" s="8"/>
      <c r="AT406" s="8"/>
      <c r="AU406" s="8"/>
    </row>
    <row r="407" spans="20:47" x14ac:dyDescent="0.4">
      <c r="T407" s="5"/>
      <c r="U407" s="8"/>
      <c r="V407" s="8"/>
      <c r="X407" s="5"/>
      <c r="AB407" s="5"/>
      <c r="AC407" s="8"/>
      <c r="AD407" s="8"/>
      <c r="AE407" s="8"/>
      <c r="AF407" s="8"/>
      <c r="AI407" s="9"/>
      <c r="AN407" s="9"/>
      <c r="AP407" s="8"/>
      <c r="AQ407" s="10"/>
      <c r="AR407" s="10"/>
      <c r="AS407" s="8"/>
      <c r="AT407" s="8"/>
      <c r="AU407" s="8"/>
    </row>
    <row r="408" spans="20:47" x14ac:dyDescent="0.4">
      <c r="T408" s="5"/>
      <c r="U408" s="8"/>
      <c r="V408" s="8"/>
      <c r="X408" s="5"/>
      <c r="AB408" s="5"/>
      <c r="AC408" s="8"/>
      <c r="AD408" s="8"/>
      <c r="AE408" s="8"/>
      <c r="AF408" s="8"/>
      <c r="AI408" s="9"/>
      <c r="AN408" s="9"/>
      <c r="AP408" s="8"/>
      <c r="AQ408" s="10"/>
      <c r="AR408" s="10"/>
      <c r="AS408" s="8"/>
      <c r="AT408" s="8"/>
      <c r="AU408" s="8"/>
    </row>
    <row r="409" spans="20:47" x14ac:dyDescent="0.4">
      <c r="T409" s="5"/>
      <c r="U409" s="8"/>
      <c r="V409" s="8"/>
      <c r="X409" s="5"/>
      <c r="AB409" s="5"/>
      <c r="AC409" s="8"/>
      <c r="AD409" s="8"/>
      <c r="AE409" s="8"/>
      <c r="AF409" s="8"/>
      <c r="AI409" s="9"/>
      <c r="AN409" s="9"/>
      <c r="AP409" s="8"/>
      <c r="AQ409" s="10"/>
      <c r="AR409" s="10"/>
      <c r="AS409" s="8"/>
      <c r="AT409" s="8"/>
      <c r="AU409" s="8"/>
    </row>
    <row r="410" spans="20:47" x14ac:dyDescent="0.4">
      <c r="T410" s="5"/>
      <c r="U410" s="8"/>
      <c r="V410" s="8"/>
      <c r="X410" s="5"/>
      <c r="AB410" s="5"/>
      <c r="AC410" s="8"/>
      <c r="AD410" s="8"/>
      <c r="AE410" s="8"/>
      <c r="AF410" s="8"/>
      <c r="AI410" s="9"/>
      <c r="AN410" s="9"/>
      <c r="AP410" s="8"/>
      <c r="AQ410" s="10"/>
      <c r="AR410" s="10"/>
      <c r="AS410" s="8"/>
      <c r="AT410" s="8"/>
      <c r="AU410" s="8"/>
    </row>
    <row r="411" spans="20:47" x14ac:dyDescent="0.4">
      <c r="T411" s="5"/>
      <c r="U411" s="8"/>
      <c r="V411" s="8"/>
      <c r="X411" s="5"/>
      <c r="AB411" s="5"/>
      <c r="AC411" s="8"/>
      <c r="AD411" s="8"/>
      <c r="AE411" s="8"/>
      <c r="AF411" s="8"/>
      <c r="AI411" s="9"/>
      <c r="AN411" s="9"/>
      <c r="AP411" s="8"/>
      <c r="AQ411" s="10"/>
      <c r="AR411" s="10"/>
      <c r="AS411" s="8"/>
      <c r="AT411" s="8"/>
      <c r="AU411" s="8"/>
    </row>
    <row r="412" spans="20:47" x14ac:dyDescent="0.4">
      <c r="T412" s="5"/>
      <c r="U412" s="8"/>
      <c r="V412" s="8"/>
      <c r="X412" s="5"/>
      <c r="AB412" s="5"/>
      <c r="AC412" s="8"/>
      <c r="AD412" s="8"/>
      <c r="AE412" s="8"/>
      <c r="AF412" s="8"/>
      <c r="AI412" s="9"/>
      <c r="AN412" s="9"/>
      <c r="AP412" s="8"/>
      <c r="AQ412" s="10"/>
      <c r="AR412" s="10"/>
      <c r="AS412" s="8"/>
      <c r="AT412" s="8"/>
      <c r="AU412" s="8"/>
    </row>
    <row r="413" spans="20:47" x14ac:dyDescent="0.4">
      <c r="T413" s="5"/>
      <c r="U413" s="8"/>
      <c r="V413" s="8"/>
      <c r="X413" s="5"/>
      <c r="AB413" s="5"/>
      <c r="AC413" s="8"/>
      <c r="AD413" s="8"/>
      <c r="AE413" s="8"/>
      <c r="AF413" s="8"/>
      <c r="AI413" s="9"/>
      <c r="AN413" s="9"/>
      <c r="AP413" s="8"/>
      <c r="AQ413" s="10"/>
      <c r="AR413" s="10"/>
      <c r="AS413" s="8"/>
      <c r="AT413" s="8"/>
      <c r="AU413" s="8"/>
    </row>
    <row r="414" spans="20:47" x14ac:dyDescent="0.4">
      <c r="T414" s="5"/>
      <c r="U414" s="8"/>
      <c r="V414" s="8"/>
      <c r="X414" s="5"/>
      <c r="AB414" s="5"/>
      <c r="AC414" s="8"/>
      <c r="AD414" s="8"/>
      <c r="AE414" s="8"/>
      <c r="AF414" s="8"/>
      <c r="AI414" s="9"/>
      <c r="AN414" s="9"/>
      <c r="AP414" s="8"/>
      <c r="AQ414" s="10"/>
      <c r="AR414" s="10"/>
      <c r="AS414" s="8"/>
      <c r="AT414" s="8"/>
      <c r="AU414" s="8"/>
    </row>
    <row r="415" spans="20:47" x14ac:dyDescent="0.4">
      <c r="T415" s="5"/>
      <c r="U415" s="8"/>
      <c r="V415" s="8"/>
      <c r="X415" s="5"/>
      <c r="AB415" s="5"/>
      <c r="AC415" s="8"/>
      <c r="AD415" s="8"/>
      <c r="AE415" s="8"/>
      <c r="AF415" s="8"/>
      <c r="AI415" s="9"/>
      <c r="AN415" s="9"/>
      <c r="AP415" s="8"/>
      <c r="AQ415" s="10"/>
      <c r="AR415" s="10"/>
      <c r="AS415" s="8"/>
      <c r="AT415" s="8"/>
      <c r="AU415" s="8"/>
    </row>
    <row r="416" spans="20:47" x14ac:dyDescent="0.4">
      <c r="T416" s="5"/>
      <c r="U416" s="8"/>
      <c r="V416" s="8"/>
      <c r="X416" s="5"/>
      <c r="AB416" s="5"/>
      <c r="AC416" s="8"/>
      <c r="AD416" s="8"/>
      <c r="AE416" s="8"/>
      <c r="AF416" s="8"/>
      <c r="AI416" s="9"/>
      <c r="AN416" s="9"/>
      <c r="AP416" s="8"/>
      <c r="AQ416" s="10"/>
      <c r="AR416" s="10"/>
      <c r="AS416" s="8"/>
      <c r="AT416" s="8"/>
      <c r="AU416" s="8"/>
    </row>
    <row r="417" spans="20:47" x14ac:dyDescent="0.4">
      <c r="T417" s="5"/>
      <c r="U417" s="8"/>
      <c r="V417" s="8"/>
      <c r="X417" s="5"/>
      <c r="AB417" s="5"/>
      <c r="AC417" s="8"/>
      <c r="AD417" s="8"/>
      <c r="AE417" s="8"/>
      <c r="AF417" s="8"/>
      <c r="AI417" s="9"/>
      <c r="AN417" s="9"/>
      <c r="AP417" s="8"/>
      <c r="AQ417" s="10"/>
      <c r="AR417" s="10"/>
      <c r="AS417" s="8"/>
      <c r="AT417" s="8"/>
      <c r="AU417" s="8"/>
    </row>
    <row r="418" spans="20:47" x14ac:dyDescent="0.4">
      <c r="T418" s="5"/>
      <c r="U418" s="8"/>
      <c r="V418" s="8"/>
      <c r="X418" s="5"/>
      <c r="AB418" s="5"/>
      <c r="AC418" s="8"/>
      <c r="AD418" s="8"/>
      <c r="AE418" s="8"/>
      <c r="AF418" s="8"/>
      <c r="AI418" s="9"/>
      <c r="AN418" s="9"/>
      <c r="AP418" s="8"/>
      <c r="AQ418" s="10"/>
      <c r="AR418" s="10"/>
      <c r="AS418" s="8"/>
      <c r="AT418" s="8"/>
      <c r="AU418" s="8"/>
    </row>
    <row r="419" spans="20:47" x14ac:dyDescent="0.4">
      <c r="T419" s="5"/>
      <c r="U419" s="8"/>
      <c r="V419" s="8"/>
      <c r="X419" s="5"/>
      <c r="AB419" s="5"/>
      <c r="AC419" s="8"/>
      <c r="AD419" s="8"/>
      <c r="AE419" s="8"/>
      <c r="AF419" s="8"/>
      <c r="AI419" s="9"/>
      <c r="AN419" s="9"/>
      <c r="AP419" s="8"/>
      <c r="AQ419" s="10"/>
      <c r="AR419" s="10"/>
      <c r="AS419" s="8"/>
      <c r="AT419" s="8"/>
      <c r="AU419" s="8"/>
    </row>
    <row r="420" spans="20:47" x14ac:dyDescent="0.4">
      <c r="T420" s="5"/>
      <c r="U420" s="8"/>
      <c r="V420" s="8"/>
      <c r="X420" s="5"/>
      <c r="AB420" s="5"/>
      <c r="AC420" s="8"/>
      <c r="AD420" s="8"/>
      <c r="AE420" s="8"/>
      <c r="AF420" s="8"/>
      <c r="AI420" s="9"/>
      <c r="AN420" s="9"/>
      <c r="AP420" s="8"/>
      <c r="AQ420" s="10"/>
      <c r="AR420" s="10"/>
      <c r="AS420" s="8"/>
      <c r="AT420" s="8"/>
      <c r="AU420" s="8"/>
    </row>
    <row r="421" spans="20:47" x14ac:dyDescent="0.4">
      <c r="T421" s="5"/>
      <c r="U421" s="8"/>
      <c r="V421" s="8"/>
      <c r="X421" s="5"/>
      <c r="AB421" s="5"/>
      <c r="AC421" s="8"/>
      <c r="AD421" s="8"/>
      <c r="AE421" s="8"/>
      <c r="AF421" s="8"/>
      <c r="AI421" s="9"/>
      <c r="AN421" s="9"/>
      <c r="AP421" s="8"/>
      <c r="AQ421" s="10"/>
      <c r="AR421" s="10"/>
      <c r="AS421" s="8"/>
      <c r="AT421" s="8"/>
      <c r="AU421" s="8"/>
    </row>
    <row r="422" spans="20:47" x14ac:dyDescent="0.4">
      <c r="T422" s="5"/>
      <c r="U422" s="8"/>
      <c r="V422" s="8"/>
      <c r="X422" s="5"/>
      <c r="AB422" s="5"/>
      <c r="AC422" s="8"/>
      <c r="AD422" s="8"/>
      <c r="AE422" s="8"/>
      <c r="AF422" s="8"/>
      <c r="AI422" s="9"/>
      <c r="AN422" s="9"/>
      <c r="AP422" s="8"/>
      <c r="AQ422" s="10"/>
      <c r="AR422" s="10"/>
      <c r="AS422" s="8"/>
      <c r="AT422" s="8"/>
      <c r="AU422" s="8"/>
    </row>
    <row r="423" spans="20:47" x14ac:dyDescent="0.4">
      <c r="T423" s="5"/>
      <c r="U423" s="8"/>
      <c r="V423" s="8"/>
      <c r="X423" s="5"/>
      <c r="AB423" s="5"/>
      <c r="AC423" s="8"/>
      <c r="AD423" s="8"/>
      <c r="AE423" s="8"/>
      <c r="AF423" s="8"/>
      <c r="AI423" s="9"/>
      <c r="AN423" s="9"/>
      <c r="AP423" s="8"/>
      <c r="AQ423" s="10"/>
      <c r="AR423" s="10"/>
      <c r="AS423" s="8"/>
      <c r="AT423" s="8"/>
      <c r="AU423" s="8"/>
    </row>
    <row r="424" spans="20:47" x14ac:dyDescent="0.4">
      <c r="T424" s="5"/>
      <c r="U424" s="8"/>
      <c r="V424" s="8"/>
      <c r="X424" s="5"/>
      <c r="AB424" s="5"/>
      <c r="AC424" s="8"/>
      <c r="AD424" s="8"/>
      <c r="AE424" s="8"/>
      <c r="AF424" s="8"/>
      <c r="AI424" s="9"/>
      <c r="AN424" s="9"/>
      <c r="AP424" s="8"/>
      <c r="AQ424" s="10"/>
      <c r="AR424" s="10"/>
      <c r="AS424" s="8"/>
      <c r="AT424" s="8"/>
      <c r="AU424" s="8"/>
    </row>
    <row r="425" spans="20:47" x14ac:dyDescent="0.4">
      <c r="T425" s="5"/>
      <c r="U425" s="8"/>
      <c r="V425" s="8"/>
      <c r="X425" s="5"/>
      <c r="AB425" s="5"/>
      <c r="AC425" s="8"/>
      <c r="AD425" s="8"/>
      <c r="AE425" s="8"/>
      <c r="AF425" s="8"/>
      <c r="AI425" s="9"/>
      <c r="AN425" s="9"/>
      <c r="AP425" s="8"/>
      <c r="AQ425" s="10"/>
      <c r="AR425" s="10"/>
      <c r="AS425" s="8"/>
      <c r="AT425" s="8"/>
      <c r="AU425" s="8"/>
    </row>
    <row r="426" spans="20:47" x14ac:dyDescent="0.4">
      <c r="T426" s="5"/>
      <c r="U426" s="8"/>
      <c r="V426" s="8"/>
      <c r="X426" s="5"/>
      <c r="AB426" s="5"/>
      <c r="AC426" s="8"/>
      <c r="AD426" s="8"/>
      <c r="AE426" s="8"/>
      <c r="AF426" s="8"/>
      <c r="AI426" s="9"/>
      <c r="AN426" s="9"/>
      <c r="AP426" s="8"/>
      <c r="AQ426" s="10"/>
      <c r="AR426" s="10"/>
      <c r="AS426" s="8"/>
      <c r="AT426" s="8"/>
      <c r="AU426" s="8"/>
    </row>
    <row r="427" spans="20:47" x14ac:dyDescent="0.4">
      <c r="T427" s="5"/>
      <c r="U427" s="8"/>
      <c r="V427" s="8"/>
      <c r="X427" s="5"/>
      <c r="AB427" s="5"/>
      <c r="AC427" s="8"/>
      <c r="AD427" s="8"/>
      <c r="AE427" s="8"/>
      <c r="AF427" s="8"/>
      <c r="AI427" s="9"/>
      <c r="AN427" s="9"/>
      <c r="AP427" s="8"/>
      <c r="AQ427" s="10"/>
      <c r="AR427" s="10"/>
      <c r="AS427" s="8"/>
      <c r="AT427" s="8"/>
      <c r="AU427" s="8"/>
    </row>
    <row r="428" spans="20:47" x14ac:dyDescent="0.4">
      <c r="T428" s="5"/>
      <c r="U428" s="8"/>
      <c r="V428" s="8"/>
      <c r="X428" s="5"/>
      <c r="AB428" s="5"/>
      <c r="AC428" s="8"/>
      <c r="AD428" s="8"/>
      <c r="AE428" s="8"/>
      <c r="AF428" s="8"/>
      <c r="AI428" s="9"/>
      <c r="AN428" s="9"/>
      <c r="AP428" s="8"/>
      <c r="AQ428" s="10"/>
      <c r="AR428" s="10"/>
      <c r="AS428" s="8"/>
      <c r="AT428" s="8"/>
      <c r="AU428" s="8"/>
    </row>
    <row r="429" spans="20:47" x14ac:dyDescent="0.4">
      <c r="T429" s="5"/>
      <c r="U429" s="8"/>
      <c r="V429" s="8"/>
      <c r="X429" s="5"/>
      <c r="AB429" s="5"/>
      <c r="AC429" s="8"/>
      <c r="AD429" s="8"/>
      <c r="AE429" s="8"/>
      <c r="AF429" s="8"/>
      <c r="AI429" s="9"/>
      <c r="AN429" s="9"/>
      <c r="AP429" s="8"/>
      <c r="AQ429" s="10"/>
      <c r="AR429" s="10"/>
      <c r="AS429" s="8"/>
      <c r="AT429" s="8"/>
      <c r="AU429" s="8"/>
    </row>
    <row r="430" spans="20:47" x14ac:dyDescent="0.4">
      <c r="T430" s="5"/>
      <c r="U430" s="8"/>
      <c r="V430" s="8"/>
      <c r="X430" s="5"/>
      <c r="AB430" s="5"/>
      <c r="AC430" s="8"/>
      <c r="AD430" s="8"/>
      <c r="AE430" s="8"/>
      <c r="AF430" s="8"/>
      <c r="AI430" s="9"/>
      <c r="AN430" s="9"/>
      <c r="AP430" s="8"/>
      <c r="AQ430" s="10"/>
      <c r="AR430" s="10"/>
      <c r="AS430" s="8"/>
      <c r="AT430" s="8"/>
      <c r="AU430" s="8"/>
    </row>
    <row r="431" spans="20:47" x14ac:dyDescent="0.4">
      <c r="T431" s="5"/>
      <c r="U431" s="8"/>
      <c r="V431" s="8"/>
      <c r="X431" s="5"/>
      <c r="AB431" s="5"/>
      <c r="AC431" s="8"/>
      <c r="AD431" s="8"/>
      <c r="AE431" s="8"/>
      <c r="AF431" s="8"/>
      <c r="AI431" s="9"/>
      <c r="AN431" s="9"/>
      <c r="AP431" s="8"/>
      <c r="AQ431" s="10"/>
      <c r="AR431" s="10"/>
      <c r="AS431" s="8"/>
      <c r="AT431" s="8"/>
      <c r="AU431" s="8"/>
    </row>
    <row r="432" spans="20:47" x14ac:dyDescent="0.4">
      <c r="T432" s="5"/>
      <c r="U432" s="8"/>
      <c r="V432" s="8"/>
      <c r="X432" s="5"/>
      <c r="AB432" s="5"/>
      <c r="AC432" s="8"/>
      <c r="AD432" s="8"/>
      <c r="AE432" s="8"/>
      <c r="AF432" s="8"/>
      <c r="AI432" s="9"/>
      <c r="AN432" s="9"/>
      <c r="AP432" s="8"/>
      <c r="AQ432" s="10"/>
      <c r="AR432" s="10"/>
      <c r="AS432" s="8"/>
      <c r="AT432" s="8"/>
      <c r="AU432" s="8"/>
    </row>
    <row r="433" spans="20:47" x14ac:dyDescent="0.4">
      <c r="T433" s="5"/>
      <c r="U433" s="8"/>
      <c r="V433" s="8"/>
      <c r="X433" s="5"/>
      <c r="AB433" s="5"/>
      <c r="AC433" s="8"/>
      <c r="AD433" s="8"/>
      <c r="AE433" s="8"/>
      <c r="AF433" s="8"/>
      <c r="AI433" s="9"/>
      <c r="AN433" s="9"/>
      <c r="AP433" s="8"/>
      <c r="AQ433" s="10"/>
      <c r="AR433" s="10"/>
      <c r="AS433" s="8"/>
      <c r="AT433" s="8"/>
      <c r="AU433" s="8"/>
    </row>
    <row r="434" spans="20:47" x14ac:dyDescent="0.4">
      <c r="T434" s="5"/>
      <c r="U434" s="8"/>
      <c r="V434" s="8"/>
      <c r="X434" s="5"/>
      <c r="AB434" s="5"/>
      <c r="AC434" s="8"/>
      <c r="AD434" s="8"/>
      <c r="AE434" s="8"/>
      <c r="AF434" s="8"/>
      <c r="AI434" s="9"/>
      <c r="AN434" s="9"/>
      <c r="AP434" s="8"/>
      <c r="AQ434" s="10"/>
      <c r="AR434" s="10"/>
      <c r="AS434" s="8"/>
      <c r="AT434" s="8"/>
      <c r="AU434" s="8"/>
    </row>
    <row r="435" spans="20:47" x14ac:dyDescent="0.4">
      <c r="T435" s="5"/>
      <c r="U435" s="8"/>
      <c r="V435" s="8"/>
      <c r="X435" s="5"/>
      <c r="AB435" s="5"/>
      <c r="AC435" s="8"/>
      <c r="AD435" s="8"/>
      <c r="AE435" s="8"/>
      <c r="AF435" s="8"/>
      <c r="AI435" s="9"/>
      <c r="AN435" s="9"/>
      <c r="AP435" s="8"/>
      <c r="AQ435" s="10"/>
      <c r="AR435" s="10"/>
      <c r="AS435" s="8"/>
      <c r="AT435" s="8"/>
      <c r="AU435" s="8"/>
    </row>
    <row r="436" spans="20:47" x14ac:dyDescent="0.4">
      <c r="T436" s="5"/>
      <c r="U436" s="8"/>
      <c r="V436" s="8"/>
      <c r="X436" s="5"/>
      <c r="AB436" s="5"/>
      <c r="AC436" s="8"/>
      <c r="AD436" s="8"/>
      <c r="AE436" s="8"/>
      <c r="AF436" s="8"/>
      <c r="AI436" s="9"/>
      <c r="AN436" s="9"/>
      <c r="AP436" s="8"/>
      <c r="AQ436" s="10"/>
      <c r="AR436" s="10"/>
      <c r="AS436" s="8"/>
      <c r="AT436" s="8"/>
      <c r="AU436" s="8"/>
    </row>
    <row r="437" spans="20:47" x14ac:dyDescent="0.4">
      <c r="T437" s="5"/>
      <c r="U437" s="8"/>
      <c r="V437" s="8"/>
      <c r="X437" s="5"/>
      <c r="AB437" s="5"/>
      <c r="AC437" s="8"/>
      <c r="AD437" s="8"/>
      <c r="AE437" s="8"/>
      <c r="AF437" s="8"/>
      <c r="AI437" s="9"/>
      <c r="AN437" s="9"/>
      <c r="AP437" s="8"/>
      <c r="AQ437" s="10"/>
      <c r="AR437" s="10"/>
      <c r="AS437" s="8"/>
      <c r="AT437" s="8"/>
      <c r="AU437" s="8"/>
    </row>
    <row r="438" spans="20:47" x14ac:dyDescent="0.4">
      <c r="T438" s="5"/>
      <c r="U438" s="8"/>
      <c r="V438" s="8"/>
      <c r="X438" s="5"/>
      <c r="AB438" s="5"/>
      <c r="AC438" s="8"/>
      <c r="AD438" s="8"/>
      <c r="AE438" s="8"/>
      <c r="AF438" s="8"/>
      <c r="AI438" s="9"/>
      <c r="AN438" s="9"/>
      <c r="AP438" s="8"/>
      <c r="AQ438" s="10"/>
      <c r="AR438" s="10"/>
      <c r="AS438" s="8"/>
      <c r="AT438" s="8"/>
      <c r="AU438" s="8"/>
    </row>
    <row r="439" spans="20:47" x14ac:dyDescent="0.4">
      <c r="T439" s="5"/>
      <c r="U439" s="8"/>
      <c r="V439" s="8"/>
      <c r="X439" s="5"/>
      <c r="AB439" s="5"/>
      <c r="AC439" s="8"/>
      <c r="AD439" s="8"/>
      <c r="AE439" s="8"/>
      <c r="AF439" s="8"/>
      <c r="AI439" s="9"/>
      <c r="AN439" s="9"/>
      <c r="AP439" s="8"/>
      <c r="AQ439" s="10"/>
      <c r="AR439" s="10"/>
      <c r="AS439" s="8"/>
      <c r="AT439" s="8"/>
      <c r="AU439" s="8"/>
    </row>
    <row r="440" spans="20:47" x14ac:dyDescent="0.4">
      <c r="T440" s="5"/>
      <c r="U440" s="8"/>
      <c r="V440" s="8"/>
      <c r="X440" s="5"/>
      <c r="AB440" s="5"/>
      <c r="AC440" s="8"/>
      <c r="AD440" s="8"/>
      <c r="AE440" s="8"/>
      <c r="AF440" s="8"/>
      <c r="AI440" s="9"/>
      <c r="AN440" s="9"/>
      <c r="AP440" s="8"/>
      <c r="AQ440" s="10"/>
      <c r="AR440" s="10"/>
      <c r="AS440" s="8"/>
      <c r="AT440" s="8"/>
      <c r="AU440" s="8"/>
    </row>
    <row r="441" spans="20:47" x14ac:dyDescent="0.4">
      <c r="T441" s="5"/>
      <c r="U441" s="8"/>
      <c r="V441" s="8"/>
      <c r="X441" s="5"/>
      <c r="AB441" s="5"/>
      <c r="AC441" s="8"/>
      <c r="AD441" s="8"/>
      <c r="AE441" s="8"/>
      <c r="AF441" s="8"/>
      <c r="AI441" s="9"/>
      <c r="AN441" s="9"/>
      <c r="AP441" s="8"/>
      <c r="AQ441" s="10"/>
      <c r="AR441" s="10"/>
      <c r="AS441" s="8"/>
      <c r="AT441" s="8"/>
      <c r="AU441" s="8"/>
    </row>
    <row r="442" spans="20:47" x14ac:dyDescent="0.4">
      <c r="T442" s="5"/>
      <c r="U442" s="8"/>
      <c r="V442" s="8"/>
      <c r="X442" s="5"/>
      <c r="AB442" s="5"/>
      <c r="AC442" s="8"/>
      <c r="AD442" s="8"/>
      <c r="AE442" s="8"/>
      <c r="AF442" s="8"/>
      <c r="AI442" s="9"/>
      <c r="AN442" s="9"/>
      <c r="AP442" s="8"/>
      <c r="AQ442" s="10"/>
      <c r="AR442" s="10"/>
      <c r="AS442" s="8"/>
      <c r="AT442" s="8"/>
      <c r="AU442" s="8"/>
    </row>
    <row r="443" spans="20:47" x14ac:dyDescent="0.4">
      <c r="T443" s="5"/>
      <c r="U443" s="8"/>
      <c r="V443" s="8"/>
      <c r="X443" s="5"/>
      <c r="AB443" s="5"/>
      <c r="AC443" s="8"/>
      <c r="AD443" s="8"/>
      <c r="AE443" s="8"/>
      <c r="AF443" s="8"/>
      <c r="AI443" s="9"/>
      <c r="AN443" s="9"/>
      <c r="AP443" s="8"/>
      <c r="AQ443" s="10"/>
      <c r="AR443" s="10"/>
      <c r="AS443" s="8"/>
      <c r="AT443" s="8"/>
      <c r="AU443" s="8"/>
    </row>
    <row r="444" spans="20:47" x14ac:dyDescent="0.4">
      <c r="T444" s="5"/>
      <c r="U444" s="8"/>
      <c r="V444" s="8"/>
      <c r="X444" s="5"/>
      <c r="AB444" s="5"/>
      <c r="AC444" s="8"/>
      <c r="AD444" s="8"/>
      <c r="AE444" s="8"/>
      <c r="AF444" s="8"/>
      <c r="AI444" s="9"/>
      <c r="AN444" s="9"/>
      <c r="AP444" s="8"/>
      <c r="AQ444" s="10"/>
      <c r="AR444" s="10"/>
      <c r="AS444" s="8"/>
      <c r="AT444" s="8"/>
      <c r="AU444" s="8"/>
    </row>
    <row r="445" spans="20:47" x14ac:dyDescent="0.4">
      <c r="T445" s="5"/>
      <c r="U445" s="8"/>
      <c r="V445" s="8"/>
      <c r="X445" s="5"/>
      <c r="AB445" s="5"/>
      <c r="AC445" s="8"/>
      <c r="AD445" s="8"/>
      <c r="AE445" s="8"/>
      <c r="AF445" s="8"/>
      <c r="AI445" s="9"/>
      <c r="AN445" s="9"/>
      <c r="AP445" s="8"/>
      <c r="AQ445" s="10"/>
      <c r="AR445" s="10"/>
      <c r="AS445" s="8"/>
      <c r="AT445" s="8"/>
      <c r="AU445" s="8"/>
    </row>
    <row r="446" spans="20:47" x14ac:dyDescent="0.4">
      <c r="T446" s="5"/>
      <c r="U446" s="8"/>
      <c r="V446" s="8"/>
      <c r="X446" s="5"/>
      <c r="AB446" s="5"/>
      <c r="AC446" s="8"/>
      <c r="AD446" s="8"/>
      <c r="AE446" s="8"/>
      <c r="AF446" s="8"/>
      <c r="AI446" s="9"/>
      <c r="AN446" s="9"/>
      <c r="AP446" s="8"/>
      <c r="AQ446" s="10"/>
      <c r="AR446" s="10"/>
      <c r="AS446" s="8"/>
      <c r="AT446" s="8"/>
      <c r="AU446" s="8"/>
    </row>
    <row r="447" spans="20:47" x14ac:dyDescent="0.4">
      <c r="T447" s="5"/>
      <c r="U447" s="8"/>
      <c r="V447" s="8"/>
      <c r="X447" s="5"/>
      <c r="AB447" s="5"/>
      <c r="AC447" s="8"/>
      <c r="AD447" s="8"/>
      <c r="AE447" s="8"/>
      <c r="AF447" s="8"/>
      <c r="AI447" s="9"/>
      <c r="AN447" s="9"/>
      <c r="AP447" s="8"/>
      <c r="AQ447" s="10"/>
      <c r="AR447" s="10"/>
      <c r="AS447" s="8"/>
      <c r="AT447" s="8"/>
      <c r="AU447" s="8"/>
    </row>
    <row r="448" spans="20:47" x14ac:dyDescent="0.4">
      <c r="T448" s="5"/>
      <c r="U448" s="8"/>
      <c r="V448" s="8"/>
      <c r="X448" s="5"/>
      <c r="AB448" s="5"/>
      <c r="AC448" s="8"/>
      <c r="AD448" s="8"/>
      <c r="AE448" s="8"/>
      <c r="AF448" s="8"/>
      <c r="AI448" s="9"/>
      <c r="AN448" s="9"/>
      <c r="AP448" s="8"/>
      <c r="AQ448" s="10"/>
      <c r="AR448" s="10"/>
      <c r="AS448" s="8"/>
      <c r="AT448" s="8"/>
      <c r="AU448" s="8"/>
    </row>
    <row r="449" spans="20:47" x14ac:dyDescent="0.4">
      <c r="T449" s="5"/>
      <c r="U449" s="8"/>
      <c r="V449" s="8"/>
      <c r="X449" s="5"/>
      <c r="AB449" s="5"/>
      <c r="AC449" s="8"/>
      <c r="AD449" s="8"/>
      <c r="AE449" s="8"/>
      <c r="AF449" s="8"/>
      <c r="AI449" s="9"/>
      <c r="AN449" s="9"/>
      <c r="AP449" s="8"/>
      <c r="AQ449" s="10"/>
      <c r="AR449" s="10"/>
      <c r="AS449" s="8"/>
      <c r="AT449" s="8"/>
      <c r="AU449" s="8"/>
    </row>
    <row r="450" spans="20:47" x14ac:dyDescent="0.4">
      <c r="T450" s="5"/>
      <c r="U450" s="8"/>
      <c r="V450" s="8"/>
      <c r="X450" s="5"/>
      <c r="AB450" s="5"/>
      <c r="AC450" s="8"/>
      <c r="AD450" s="8"/>
      <c r="AE450" s="8"/>
      <c r="AF450" s="8"/>
      <c r="AI450" s="9"/>
      <c r="AN450" s="9"/>
      <c r="AP450" s="8"/>
      <c r="AQ450" s="10"/>
      <c r="AR450" s="10"/>
      <c r="AS450" s="8"/>
      <c r="AT450" s="8"/>
      <c r="AU450" s="8"/>
    </row>
    <row r="451" spans="20:47" x14ac:dyDescent="0.4">
      <c r="T451" s="5"/>
      <c r="U451" s="8"/>
      <c r="V451" s="8"/>
      <c r="X451" s="5"/>
      <c r="AB451" s="5"/>
      <c r="AC451" s="8"/>
      <c r="AD451" s="8"/>
      <c r="AE451" s="8"/>
      <c r="AF451" s="8"/>
      <c r="AI451" s="9"/>
      <c r="AN451" s="9"/>
      <c r="AP451" s="8"/>
      <c r="AQ451" s="10"/>
      <c r="AR451" s="10"/>
      <c r="AS451" s="8"/>
      <c r="AT451" s="8"/>
      <c r="AU451" s="8"/>
    </row>
    <row r="452" spans="20:47" x14ac:dyDescent="0.4">
      <c r="T452" s="5"/>
      <c r="U452" s="8"/>
      <c r="V452" s="8"/>
      <c r="X452" s="5"/>
      <c r="AB452" s="5"/>
      <c r="AC452" s="8"/>
      <c r="AD452" s="8"/>
      <c r="AE452" s="8"/>
      <c r="AF452" s="8"/>
      <c r="AI452" s="9"/>
      <c r="AN452" s="9"/>
      <c r="AP452" s="8"/>
      <c r="AQ452" s="10"/>
      <c r="AR452" s="10"/>
      <c r="AS452" s="8"/>
      <c r="AT452" s="8"/>
      <c r="AU452" s="8"/>
    </row>
    <row r="453" spans="20:47" x14ac:dyDescent="0.4">
      <c r="T453" s="5"/>
      <c r="U453" s="8"/>
      <c r="V453" s="8"/>
      <c r="X453" s="5"/>
      <c r="AB453" s="5"/>
      <c r="AC453" s="8"/>
      <c r="AD453" s="8"/>
      <c r="AE453" s="8"/>
      <c r="AF453" s="8"/>
      <c r="AI453" s="9"/>
      <c r="AN453" s="9"/>
      <c r="AP453" s="8"/>
      <c r="AQ453" s="10"/>
      <c r="AR453" s="10"/>
      <c r="AS453" s="8"/>
      <c r="AT453" s="8"/>
      <c r="AU453" s="8"/>
    </row>
    <row r="454" spans="20:47" x14ac:dyDescent="0.4">
      <c r="T454" s="5"/>
      <c r="U454" s="8"/>
      <c r="V454" s="8"/>
      <c r="X454" s="5"/>
      <c r="AB454" s="5"/>
      <c r="AC454" s="8"/>
      <c r="AD454" s="8"/>
      <c r="AE454" s="8"/>
      <c r="AF454" s="8"/>
      <c r="AI454" s="9"/>
      <c r="AN454" s="9"/>
      <c r="AP454" s="8"/>
      <c r="AQ454" s="10"/>
      <c r="AR454" s="10"/>
      <c r="AS454" s="8"/>
      <c r="AT454" s="8"/>
      <c r="AU454" s="8"/>
    </row>
    <row r="455" spans="20:47" x14ac:dyDescent="0.4">
      <c r="T455" s="5"/>
      <c r="U455" s="8"/>
      <c r="V455" s="8"/>
      <c r="X455" s="5"/>
      <c r="AB455" s="5"/>
      <c r="AC455" s="8"/>
      <c r="AD455" s="8"/>
      <c r="AE455" s="8"/>
      <c r="AF455" s="8"/>
      <c r="AI455" s="9"/>
      <c r="AN455" s="9"/>
      <c r="AP455" s="8"/>
      <c r="AQ455" s="10"/>
      <c r="AR455" s="10"/>
      <c r="AS455" s="8"/>
      <c r="AT455" s="8"/>
      <c r="AU455" s="8"/>
    </row>
    <row r="456" spans="20:47" x14ac:dyDescent="0.4">
      <c r="T456" s="5"/>
      <c r="U456" s="8"/>
      <c r="V456" s="8"/>
      <c r="X456" s="5"/>
      <c r="AB456" s="5"/>
      <c r="AC456" s="8"/>
      <c r="AD456" s="8"/>
      <c r="AE456" s="8"/>
      <c r="AF456" s="8"/>
      <c r="AI456" s="9"/>
      <c r="AN456" s="9"/>
      <c r="AP456" s="8"/>
      <c r="AQ456" s="10"/>
      <c r="AR456" s="10"/>
      <c r="AS456" s="8"/>
      <c r="AT456" s="8"/>
      <c r="AU456" s="8"/>
    </row>
    <row r="457" spans="20:47" x14ac:dyDescent="0.4">
      <c r="T457" s="5"/>
      <c r="U457" s="8"/>
      <c r="V457" s="8"/>
      <c r="X457" s="5"/>
      <c r="AB457" s="5"/>
      <c r="AC457" s="8"/>
      <c r="AD457" s="8"/>
      <c r="AE457" s="8"/>
      <c r="AF457" s="8"/>
      <c r="AI457" s="9"/>
      <c r="AN457" s="9"/>
      <c r="AP457" s="8"/>
      <c r="AQ457" s="10"/>
      <c r="AR457" s="10"/>
      <c r="AS457" s="8"/>
      <c r="AT457" s="8"/>
      <c r="AU457" s="8"/>
    </row>
    <row r="458" spans="20:47" x14ac:dyDescent="0.4">
      <c r="T458" s="5"/>
      <c r="U458" s="8"/>
      <c r="V458" s="8"/>
      <c r="X458" s="5"/>
      <c r="AB458" s="5"/>
      <c r="AC458" s="8"/>
      <c r="AD458" s="8"/>
      <c r="AE458" s="8"/>
      <c r="AF458" s="8"/>
      <c r="AI458" s="9"/>
      <c r="AN458" s="9"/>
      <c r="AP458" s="8"/>
      <c r="AQ458" s="10"/>
      <c r="AR458" s="10"/>
      <c r="AS458" s="8"/>
      <c r="AT458" s="8"/>
      <c r="AU458" s="8"/>
    </row>
    <row r="459" spans="20:47" x14ac:dyDescent="0.4">
      <c r="T459" s="5"/>
      <c r="U459" s="8"/>
      <c r="V459" s="8"/>
      <c r="X459" s="5"/>
      <c r="AB459" s="5"/>
      <c r="AC459" s="8"/>
      <c r="AD459" s="8"/>
      <c r="AE459" s="8"/>
      <c r="AF459" s="8"/>
      <c r="AI459" s="9"/>
      <c r="AN459" s="9"/>
      <c r="AP459" s="8"/>
      <c r="AQ459" s="10"/>
      <c r="AR459" s="10"/>
      <c r="AS459" s="8"/>
      <c r="AT459" s="8"/>
      <c r="AU459" s="8"/>
    </row>
    <row r="460" spans="20:47" x14ac:dyDescent="0.4">
      <c r="T460" s="5"/>
      <c r="U460" s="8"/>
      <c r="V460" s="8"/>
      <c r="X460" s="5"/>
      <c r="AB460" s="5"/>
      <c r="AC460" s="8"/>
      <c r="AD460" s="8"/>
      <c r="AE460" s="8"/>
      <c r="AF460" s="8"/>
      <c r="AI460" s="9"/>
      <c r="AN460" s="9"/>
      <c r="AP460" s="8"/>
      <c r="AQ460" s="10"/>
      <c r="AR460" s="10"/>
      <c r="AS460" s="8"/>
      <c r="AT460" s="8"/>
      <c r="AU460" s="8"/>
    </row>
    <row r="461" spans="20:47" x14ac:dyDescent="0.4">
      <c r="T461" s="5"/>
      <c r="U461" s="8"/>
      <c r="V461" s="8"/>
      <c r="X461" s="5"/>
      <c r="AB461" s="5"/>
      <c r="AC461" s="8"/>
      <c r="AD461" s="8"/>
      <c r="AE461" s="8"/>
      <c r="AF461" s="8"/>
      <c r="AI461" s="9"/>
      <c r="AN461" s="9"/>
      <c r="AP461" s="8"/>
      <c r="AQ461" s="10"/>
      <c r="AR461" s="10"/>
      <c r="AS461" s="8"/>
      <c r="AT461" s="8"/>
      <c r="AU461" s="8"/>
    </row>
    <row r="462" spans="20:47" x14ac:dyDescent="0.4">
      <c r="T462" s="5"/>
      <c r="U462" s="8"/>
      <c r="V462" s="8"/>
      <c r="X462" s="5"/>
      <c r="AB462" s="5"/>
      <c r="AC462" s="8"/>
      <c r="AD462" s="8"/>
      <c r="AE462" s="8"/>
      <c r="AF462" s="8"/>
      <c r="AI462" s="9"/>
      <c r="AN462" s="9"/>
      <c r="AP462" s="8"/>
      <c r="AQ462" s="10"/>
      <c r="AR462" s="10"/>
      <c r="AS462" s="8"/>
      <c r="AT462" s="8"/>
      <c r="AU462" s="8"/>
    </row>
    <row r="463" spans="20:47" x14ac:dyDescent="0.4">
      <c r="T463" s="5"/>
      <c r="U463" s="8"/>
      <c r="V463" s="8"/>
      <c r="X463" s="5"/>
      <c r="AB463" s="5"/>
      <c r="AC463" s="8"/>
      <c r="AD463" s="8"/>
      <c r="AE463" s="8"/>
      <c r="AF463" s="8"/>
      <c r="AI463" s="9"/>
      <c r="AN463" s="9"/>
      <c r="AP463" s="8"/>
      <c r="AQ463" s="10"/>
      <c r="AR463" s="10"/>
      <c r="AS463" s="8"/>
      <c r="AT463" s="8"/>
      <c r="AU463" s="8"/>
    </row>
    <row r="464" spans="20:47" x14ac:dyDescent="0.4">
      <c r="T464" s="5"/>
      <c r="U464" s="8"/>
      <c r="V464" s="8"/>
      <c r="X464" s="5"/>
      <c r="AB464" s="5"/>
      <c r="AC464" s="8"/>
      <c r="AD464" s="8"/>
      <c r="AE464" s="8"/>
      <c r="AF464" s="8"/>
      <c r="AI464" s="9"/>
      <c r="AN464" s="9"/>
      <c r="AP464" s="8"/>
      <c r="AQ464" s="10"/>
      <c r="AR464" s="10"/>
      <c r="AS464" s="8"/>
      <c r="AT464" s="8"/>
      <c r="AU464" s="8"/>
    </row>
    <row r="465" spans="20:47" x14ac:dyDescent="0.4">
      <c r="T465" s="5"/>
      <c r="U465" s="8"/>
      <c r="V465" s="8"/>
      <c r="X465" s="5"/>
      <c r="AB465" s="5"/>
      <c r="AC465" s="8"/>
      <c r="AD465" s="8"/>
      <c r="AE465" s="8"/>
      <c r="AF465" s="8"/>
      <c r="AI465" s="9"/>
      <c r="AN465" s="9"/>
      <c r="AP465" s="8"/>
      <c r="AQ465" s="10"/>
      <c r="AR465" s="10"/>
      <c r="AS465" s="8"/>
      <c r="AT465" s="8"/>
      <c r="AU465" s="8"/>
    </row>
    <row r="466" spans="20:47" x14ac:dyDescent="0.4">
      <c r="T466" s="5"/>
      <c r="U466" s="8"/>
      <c r="V466" s="8"/>
      <c r="X466" s="5"/>
      <c r="AB466" s="5"/>
      <c r="AC466" s="8"/>
      <c r="AD466" s="8"/>
      <c r="AE466" s="8"/>
      <c r="AF466" s="8"/>
      <c r="AI466" s="9"/>
      <c r="AN466" s="9"/>
      <c r="AP466" s="8"/>
      <c r="AQ466" s="10"/>
      <c r="AR466" s="10"/>
      <c r="AS466" s="8"/>
      <c r="AT466" s="8"/>
      <c r="AU466" s="8"/>
    </row>
    <row r="467" spans="20:47" x14ac:dyDescent="0.4">
      <c r="T467" s="5"/>
      <c r="U467" s="8"/>
      <c r="V467" s="8"/>
      <c r="X467" s="5"/>
      <c r="AB467" s="5"/>
      <c r="AC467" s="8"/>
      <c r="AD467" s="8"/>
      <c r="AE467" s="8"/>
      <c r="AF467" s="8"/>
      <c r="AI467" s="9"/>
      <c r="AN467" s="9"/>
      <c r="AP467" s="8"/>
      <c r="AQ467" s="10"/>
      <c r="AR467" s="10"/>
      <c r="AS467" s="8"/>
      <c r="AT467" s="8"/>
      <c r="AU467" s="8"/>
    </row>
    <row r="468" spans="20:47" x14ac:dyDescent="0.4">
      <c r="T468" s="5"/>
      <c r="U468" s="8"/>
      <c r="V468" s="8"/>
      <c r="X468" s="5"/>
      <c r="AB468" s="5"/>
      <c r="AC468" s="8"/>
      <c r="AD468" s="8"/>
      <c r="AE468" s="8"/>
      <c r="AF468" s="8"/>
      <c r="AI468" s="9"/>
      <c r="AN468" s="9"/>
      <c r="AP468" s="8"/>
      <c r="AQ468" s="10"/>
      <c r="AR468" s="10"/>
      <c r="AS468" s="8"/>
      <c r="AT468" s="8"/>
      <c r="AU468" s="8"/>
    </row>
    <row r="469" spans="20:47" x14ac:dyDescent="0.4">
      <c r="T469" s="5"/>
      <c r="U469" s="8"/>
      <c r="V469" s="8"/>
      <c r="X469" s="5"/>
      <c r="AB469" s="5"/>
      <c r="AC469" s="8"/>
      <c r="AD469" s="8"/>
      <c r="AE469" s="8"/>
      <c r="AF469" s="8"/>
      <c r="AI469" s="9"/>
      <c r="AN469" s="9"/>
      <c r="AP469" s="8"/>
      <c r="AQ469" s="10"/>
      <c r="AR469" s="10"/>
      <c r="AS469" s="8"/>
      <c r="AT469" s="8"/>
      <c r="AU469" s="8"/>
    </row>
    <row r="470" spans="20:47" x14ac:dyDescent="0.4">
      <c r="T470" s="5"/>
      <c r="U470" s="8"/>
      <c r="V470" s="8"/>
      <c r="X470" s="5"/>
      <c r="AB470" s="5"/>
      <c r="AC470" s="8"/>
      <c r="AD470" s="8"/>
      <c r="AE470" s="8"/>
      <c r="AF470" s="8"/>
      <c r="AI470" s="9"/>
      <c r="AN470" s="9"/>
      <c r="AP470" s="8"/>
      <c r="AQ470" s="10"/>
      <c r="AR470" s="10"/>
      <c r="AS470" s="8"/>
      <c r="AT470" s="8"/>
      <c r="AU470" s="8"/>
    </row>
    <row r="471" spans="20:47" x14ac:dyDescent="0.4">
      <c r="T471" s="5"/>
      <c r="U471" s="8"/>
      <c r="V471" s="8"/>
      <c r="X471" s="5"/>
      <c r="AB471" s="5"/>
      <c r="AC471" s="8"/>
      <c r="AD471" s="8"/>
      <c r="AE471" s="8"/>
      <c r="AF471" s="8"/>
      <c r="AI471" s="9"/>
      <c r="AN471" s="9"/>
      <c r="AP471" s="8"/>
      <c r="AQ471" s="10"/>
      <c r="AR471" s="10"/>
      <c r="AS471" s="8"/>
      <c r="AT471" s="8"/>
      <c r="AU471" s="8"/>
    </row>
  </sheetData>
  <mergeCells count="6">
    <mergeCell ref="AV2:AW2"/>
    <mergeCell ref="A1:B1"/>
    <mergeCell ref="T2:X2"/>
    <mergeCell ref="Y2:AF2"/>
    <mergeCell ref="AG2:AL2"/>
    <mergeCell ref="AM2:AU2"/>
  </mergeCells>
  <pageMargins left="0.7" right="0.7" top="0.75" bottom="0.75" header="0.3" footer="0.3"/>
  <pageSetup paperSize="9" orientation="portrait" horizontalDpi="4294967293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D292-8380-4243-AC9C-55551F19A0D2}">
  <dimension ref="A1:EL422"/>
  <sheetViews>
    <sheetView topLeftCell="CD1" zoomScale="40" zoomScaleNormal="40" workbookViewId="0">
      <pane ySplit="11" topLeftCell="A12" activePane="bottomLeft" state="frozen"/>
      <selection activeCell="I1" sqref="I1"/>
      <selection pane="bottomLeft" activeCell="DE12" sqref="DE12"/>
    </sheetView>
  </sheetViews>
  <sheetFormatPr defaultColWidth="9.15234375" defaultRowHeight="14.6" x14ac:dyDescent="0.4"/>
  <cols>
    <col min="1" max="1" width="12.84375" style="21" customWidth="1"/>
    <col min="2" max="2" width="11.84375" style="21" customWidth="1"/>
    <col min="3" max="3" width="23.3046875" style="21" customWidth="1"/>
    <col min="4" max="4" width="42.53515625" style="21" bestFit="1" customWidth="1"/>
    <col min="5" max="5" width="13.3828125" style="21" customWidth="1"/>
    <col min="6" max="6" width="13.84375" style="21" customWidth="1"/>
    <col min="7" max="7" width="17.53515625" style="21" customWidth="1"/>
    <col min="8" max="8" width="18.3828125" style="21" customWidth="1"/>
    <col min="9" max="9" width="26.53515625" style="21" customWidth="1"/>
    <col min="10" max="10" width="24.3828125" style="21" customWidth="1"/>
    <col min="11" max="11" width="28.15234375" style="21" customWidth="1"/>
    <col min="12" max="12" width="15.69140625" style="21" customWidth="1"/>
    <col min="13" max="13" width="16.15234375" style="21" customWidth="1"/>
    <col min="14" max="14" width="17.53515625" style="21" customWidth="1"/>
    <col min="15" max="15" width="16.53515625" style="21" customWidth="1"/>
    <col min="16" max="16" width="13.15234375" style="21" customWidth="1"/>
    <col min="17" max="17" width="16.84375" style="3" customWidth="1"/>
    <col min="18" max="18" width="20.53515625" style="3" customWidth="1"/>
    <col min="19" max="19" width="34.3828125" style="3" customWidth="1"/>
    <col min="20" max="20" width="12.53515625" style="3" customWidth="1"/>
    <col min="21" max="21" width="15" style="3" customWidth="1"/>
    <col min="22" max="22" width="17.3046875" style="3" customWidth="1"/>
    <col min="23" max="23" width="17.84375" style="3" customWidth="1"/>
    <col min="24" max="24" width="19.69140625" style="3" customWidth="1"/>
    <col min="25" max="25" width="17.53515625" style="3" customWidth="1"/>
    <col min="26" max="26" width="18.15234375" style="3" customWidth="1"/>
    <col min="27" max="27" width="17.84375" style="3" customWidth="1"/>
    <col min="28" max="28" width="11.3828125" style="3" customWidth="1"/>
    <col min="29" max="30" width="19.3828125" style="3" customWidth="1"/>
    <col min="31" max="32" width="13.15234375" style="3" customWidth="1"/>
    <col min="33" max="33" width="15.3828125" style="3" customWidth="1"/>
    <col min="34" max="34" width="14.15234375" style="3" customWidth="1"/>
    <col min="35" max="35" width="11.69140625" style="3" customWidth="1"/>
    <col min="36" max="36" width="15.69140625" style="3" customWidth="1"/>
    <col min="37" max="37" width="16.84375" style="3" customWidth="1"/>
    <col min="38" max="38" width="11.15234375" style="3" customWidth="1"/>
    <col min="39" max="39" width="15.69140625" style="3" customWidth="1"/>
    <col min="40" max="40" width="16.53515625" style="3" customWidth="1"/>
    <col min="41" max="41" width="17.3046875" style="3" customWidth="1"/>
    <col min="42" max="42" width="21" style="3" customWidth="1"/>
    <col min="43" max="43" width="13.53515625" style="3" customWidth="1"/>
    <col min="44" max="44" width="12.53515625" style="3" customWidth="1"/>
    <col min="45" max="46" width="23.15234375" style="3" customWidth="1"/>
    <col min="47" max="47" width="15.3828125" style="3" customWidth="1"/>
    <col min="48" max="48" width="19.3828125" style="3" customWidth="1"/>
    <col min="49" max="49" width="19.15234375" style="3" customWidth="1"/>
    <col min="50" max="50" width="9.3046875" style="3" customWidth="1"/>
    <col min="51" max="51" width="12.84375" style="3" customWidth="1"/>
    <col min="52" max="52" width="16.3828125" style="3" customWidth="1"/>
    <col min="53" max="53" width="18.3046875" style="3" customWidth="1"/>
    <col min="54" max="54" width="18.69140625" style="3" customWidth="1"/>
    <col min="55" max="55" width="20.3828125" style="3" customWidth="1"/>
    <col min="56" max="56" width="14.3046875" style="3" customWidth="1"/>
    <col min="57" max="57" width="18.3046875" style="3" customWidth="1"/>
    <col min="58" max="58" width="20.3046875" style="3" customWidth="1"/>
    <col min="59" max="59" width="15.69140625" style="3" customWidth="1"/>
    <col min="60" max="61" width="21.53515625" style="3" customWidth="1"/>
    <col min="62" max="63" width="15.3828125" style="3" customWidth="1"/>
    <col min="64" max="64" width="16.84375" style="3" customWidth="1"/>
    <col min="65" max="65" width="16" style="3" customWidth="1"/>
    <col min="66" max="66" width="13.84375" style="3" customWidth="1"/>
    <col min="67" max="67" width="18.15234375" style="3" customWidth="1"/>
    <col min="68" max="68" width="19.53515625" style="3" customWidth="1"/>
    <col min="69" max="69" width="13.3046875" style="3" customWidth="1"/>
    <col min="70" max="70" width="17.3046875" style="3" customWidth="1"/>
    <col min="71" max="71" width="19.15234375" style="3" customWidth="1"/>
    <col min="72" max="72" width="20" style="3" customWidth="1"/>
    <col min="73" max="73" width="23.69140625" style="3" customWidth="1"/>
    <col min="74" max="74" width="16" style="3" customWidth="1"/>
    <col min="75" max="75" width="17.69140625" style="3" customWidth="1"/>
    <col min="76" max="77" width="25.69140625" style="3" customWidth="1"/>
    <col min="78" max="78" width="18.15234375" style="3" customWidth="1"/>
    <col min="79" max="80" width="20.53515625" style="3" customWidth="1"/>
    <col min="81" max="81" width="12.15234375" style="3" customWidth="1"/>
    <col min="82" max="82" width="14.3046875" style="3" customWidth="1"/>
    <col min="83" max="83" width="17.69140625" style="3" customWidth="1"/>
    <col min="84" max="84" width="19.53515625" style="3" customWidth="1"/>
    <col min="85" max="85" width="20" style="3" customWidth="1"/>
    <col min="86" max="86" width="21.69140625" style="3" customWidth="1"/>
    <col min="87" max="87" width="14.69140625" style="3" customWidth="1"/>
    <col min="88" max="88" width="19.53515625" style="3" customWidth="1"/>
    <col min="89" max="89" width="20.3046875" style="3" customWidth="1"/>
    <col min="90" max="90" width="15.53515625" style="3" customWidth="1"/>
    <col min="91" max="92" width="21.84375" style="3" customWidth="1"/>
    <col min="93" max="94" width="15.69140625" style="3" customWidth="1"/>
    <col min="95" max="95" width="17.3046875" style="3" customWidth="1"/>
    <col min="96" max="96" width="16.3828125" style="3" customWidth="1"/>
    <col min="97" max="97" width="14.3046875" style="3" customWidth="1"/>
    <col min="98" max="98" width="18.3828125" style="3" customWidth="1"/>
    <col min="99" max="99" width="19.3046875" style="3" customWidth="1"/>
    <col min="100" max="100" width="13.69140625" style="3" customWidth="1"/>
    <col min="101" max="101" width="17.3046875" style="3" customWidth="1"/>
    <col min="102" max="102" width="19.15234375" style="3" customWidth="1"/>
    <col min="103" max="103" width="20" style="3" customWidth="1"/>
    <col min="104" max="104" width="23.69140625" style="3" customWidth="1"/>
    <col min="105" max="105" width="17.69140625" style="3" customWidth="1"/>
    <col min="106" max="106" width="17.84375" style="3" customWidth="1"/>
    <col min="107" max="108" width="25.69140625" style="3" customWidth="1"/>
    <col min="109" max="109" width="17.69140625" style="3" customWidth="1"/>
    <col min="110" max="110" width="21" style="3" customWidth="1"/>
    <col min="111" max="111" width="20.53515625" style="3" customWidth="1"/>
    <col min="112" max="112" width="9.15234375" style="3"/>
    <col min="113" max="113" width="14.3046875" style="3" customWidth="1"/>
    <col min="114" max="114" width="17.69140625" style="3" customWidth="1"/>
    <col min="115" max="115" width="19.53515625" style="3" customWidth="1"/>
    <col min="116" max="116" width="20" style="3" customWidth="1"/>
    <col min="117" max="117" width="21.69140625" style="3" customWidth="1"/>
    <col min="118" max="118" width="12.84375" style="3" customWidth="1"/>
    <col min="119" max="119" width="19.3046875" style="3" customWidth="1"/>
    <col min="120" max="120" width="20.53515625" style="3" customWidth="1"/>
    <col min="121" max="121" width="11.69140625" style="3" customWidth="1"/>
    <col min="122" max="123" width="21.84375" style="3" customWidth="1"/>
    <col min="124" max="125" width="15.69140625" style="3" customWidth="1"/>
    <col min="126" max="126" width="17.3046875" style="3" customWidth="1"/>
    <col min="127" max="127" width="16.3828125" style="3" customWidth="1"/>
    <col min="128" max="128" width="14.3046875" style="3" customWidth="1"/>
    <col min="129" max="129" width="18.15234375" style="3" customWidth="1"/>
    <col min="130" max="130" width="19.53515625" style="3" customWidth="1"/>
    <col min="131" max="131" width="13.69140625" style="3" customWidth="1"/>
    <col min="132" max="132" width="17.3046875" style="3" customWidth="1"/>
    <col min="133" max="133" width="19.15234375" style="3" customWidth="1"/>
    <col min="134" max="134" width="20" style="3" customWidth="1"/>
    <col min="135" max="135" width="23.69140625" style="3" customWidth="1"/>
    <col min="136" max="136" width="16" style="3" customWidth="1"/>
    <col min="137" max="137" width="15.3046875" style="3" customWidth="1"/>
    <col min="138" max="138" width="25.69140625" style="3" customWidth="1"/>
    <col min="139" max="139" width="25.3828125" style="3" customWidth="1"/>
    <col min="140" max="140" width="18.15234375" style="3" customWidth="1"/>
    <col min="141" max="141" width="21" style="3" customWidth="1"/>
    <col min="142" max="142" width="20.53515625" style="3" customWidth="1"/>
    <col min="143" max="16384" width="9.15234375" style="3"/>
  </cols>
  <sheetData>
    <row r="1" spans="1:142" x14ac:dyDescent="0.4">
      <c r="C1" s="21" t="s">
        <v>144</v>
      </c>
      <c r="D1" s="21" t="s">
        <v>137</v>
      </c>
    </row>
    <row r="2" spans="1:142" x14ac:dyDescent="0.4">
      <c r="C2" s="55">
        <v>25</v>
      </c>
      <c r="D2" s="21" t="s">
        <v>146</v>
      </c>
    </row>
    <row r="3" spans="1:142" x14ac:dyDescent="0.4">
      <c r="C3" s="55">
        <v>50</v>
      </c>
      <c r="D3" s="21" t="s">
        <v>147</v>
      </c>
    </row>
    <row r="4" spans="1:142" x14ac:dyDescent="0.4">
      <c r="C4" s="55">
        <v>75</v>
      </c>
      <c r="D4" s="21" t="s">
        <v>148</v>
      </c>
    </row>
    <row r="5" spans="1:142" x14ac:dyDescent="0.4">
      <c r="C5" s="55">
        <v>100</v>
      </c>
      <c r="D5" s="21" t="s">
        <v>149</v>
      </c>
    </row>
    <row r="6" spans="1:142" x14ac:dyDescent="0.4">
      <c r="C6" s="55"/>
    </row>
    <row r="7" spans="1:142" ht="18.899999999999999" thickBot="1" x14ac:dyDescent="0.55000000000000004">
      <c r="AC7" s="54" t="s">
        <v>138</v>
      </c>
      <c r="BL7" s="54" t="s">
        <v>139</v>
      </c>
      <c r="CR7" s="54" t="s">
        <v>140</v>
      </c>
      <c r="DV7" s="54" t="s">
        <v>141</v>
      </c>
    </row>
    <row r="8" spans="1:142" ht="29.25" customHeight="1" x14ac:dyDescent="0.55000000000000004">
      <c r="A8" s="138" t="s">
        <v>132</v>
      </c>
      <c r="B8" s="138"/>
      <c r="C8" s="34"/>
      <c r="D8" s="34"/>
      <c r="E8" s="34"/>
      <c r="F8" s="34"/>
      <c r="G8" s="34"/>
      <c r="H8" s="36"/>
      <c r="I8" s="34"/>
      <c r="J8" s="34"/>
      <c r="K8" s="36"/>
      <c r="L8" s="34"/>
      <c r="M8" s="34"/>
      <c r="N8" s="34"/>
      <c r="O8" s="34"/>
      <c r="P8" s="34"/>
      <c r="Q8" s="34"/>
      <c r="R8" s="34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42"/>
      <c r="AW8" s="42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42"/>
      <c r="CB8" s="42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42"/>
      <c r="DG8" s="42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42"/>
      <c r="EL8" s="42"/>
    </row>
    <row r="9" spans="1:142" ht="29.25" customHeight="1" x14ac:dyDescent="0.55000000000000004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6"/>
      <c r="R9" s="26"/>
      <c r="S9" s="45"/>
      <c r="T9" s="139"/>
      <c r="U9" s="139"/>
      <c r="V9" s="139"/>
      <c r="W9" s="139"/>
      <c r="X9" s="139"/>
      <c r="Y9" s="135" t="s">
        <v>103</v>
      </c>
      <c r="Z9" s="136"/>
      <c r="AA9" s="136"/>
      <c r="AB9" s="136"/>
      <c r="AC9" s="136"/>
      <c r="AD9" s="136"/>
      <c r="AE9" s="136"/>
      <c r="AF9" s="137"/>
      <c r="AG9" s="136" t="s">
        <v>106</v>
      </c>
      <c r="AH9" s="136"/>
      <c r="AI9" s="136"/>
      <c r="AJ9" s="136"/>
      <c r="AK9" s="136"/>
      <c r="AL9" s="136"/>
      <c r="AM9" s="136" t="s">
        <v>108</v>
      </c>
      <c r="AN9" s="136"/>
      <c r="AO9" s="136"/>
      <c r="AP9" s="136"/>
      <c r="AQ9" s="136"/>
      <c r="AR9" s="136"/>
      <c r="AS9" s="136"/>
      <c r="AT9" s="136"/>
      <c r="AU9" s="136"/>
      <c r="AV9" s="133" t="s">
        <v>116</v>
      </c>
      <c r="AW9" s="134"/>
      <c r="AX9" s="45"/>
      <c r="AY9" s="139"/>
      <c r="AZ9" s="139"/>
      <c r="BA9" s="139"/>
      <c r="BB9" s="139"/>
      <c r="BC9" s="140"/>
      <c r="BD9" s="135" t="s">
        <v>103</v>
      </c>
      <c r="BE9" s="136"/>
      <c r="BF9" s="136"/>
      <c r="BG9" s="136"/>
      <c r="BH9" s="136"/>
      <c r="BI9" s="136"/>
      <c r="BJ9" s="136"/>
      <c r="BK9" s="137"/>
      <c r="BL9" s="135" t="s">
        <v>106</v>
      </c>
      <c r="BM9" s="136"/>
      <c r="BN9" s="136"/>
      <c r="BO9" s="136"/>
      <c r="BP9" s="136"/>
      <c r="BQ9" s="136"/>
      <c r="BR9" s="136" t="s">
        <v>108</v>
      </c>
      <c r="BS9" s="136"/>
      <c r="BT9" s="136"/>
      <c r="BU9" s="136"/>
      <c r="BV9" s="136"/>
      <c r="BW9" s="136"/>
      <c r="BX9" s="136"/>
      <c r="BY9" s="136"/>
      <c r="BZ9" s="136"/>
      <c r="CA9" s="133" t="s">
        <v>116</v>
      </c>
      <c r="CB9" s="133"/>
      <c r="CC9" s="45"/>
      <c r="CD9" s="139"/>
      <c r="CE9" s="139"/>
      <c r="CF9" s="139"/>
      <c r="CG9" s="139"/>
      <c r="CH9" s="139"/>
      <c r="CI9" s="135" t="s">
        <v>103</v>
      </c>
      <c r="CJ9" s="136"/>
      <c r="CK9" s="136"/>
      <c r="CL9" s="136"/>
      <c r="CM9" s="136"/>
      <c r="CN9" s="136"/>
      <c r="CO9" s="136"/>
      <c r="CP9" s="137"/>
      <c r="CQ9" s="136" t="s">
        <v>106</v>
      </c>
      <c r="CR9" s="136"/>
      <c r="CS9" s="136"/>
      <c r="CT9" s="136"/>
      <c r="CU9" s="136"/>
      <c r="CV9" s="136"/>
      <c r="CW9" s="136" t="s">
        <v>108</v>
      </c>
      <c r="CX9" s="136"/>
      <c r="CY9" s="136"/>
      <c r="CZ9" s="136"/>
      <c r="DA9" s="136"/>
      <c r="DB9" s="136"/>
      <c r="DC9" s="136"/>
      <c r="DD9" s="136"/>
      <c r="DE9" s="136"/>
      <c r="DF9" s="133" t="s">
        <v>116</v>
      </c>
      <c r="DG9" s="134"/>
      <c r="DH9" s="45"/>
      <c r="DI9" s="139"/>
      <c r="DJ9" s="139"/>
      <c r="DK9" s="139"/>
      <c r="DL9" s="139"/>
      <c r="DM9" s="139"/>
      <c r="DN9" s="135" t="s">
        <v>103</v>
      </c>
      <c r="DO9" s="136"/>
      <c r="DP9" s="136"/>
      <c r="DQ9" s="136"/>
      <c r="DR9" s="136"/>
      <c r="DS9" s="136"/>
      <c r="DT9" s="136"/>
      <c r="DU9" s="137"/>
      <c r="DV9" s="136" t="s">
        <v>106</v>
      </c>
      <c r="DW9" s="136"/>
      <c r="DX9" s="136"/>
      <c r="DY9" s="136"/>
      <c r="DZ9" s="136"/>
      <c r="EA9" s="136"/>
      <c r="EB9" s="136" t="s">
        <v>108</v>
      </c>
      <c r="EC9" s="136"/>
      <c r="ED9" s="136"/>
      <c r="EE9" s="136"/>
      <c r="EF9" s="136"/>
      <c r="EG9" s="136"/>
      <c r="EH9" s="136"/>
      <c r="EI9" s="136"/>
      <c r="EJ9" s="136"/>
      <c r="EK9" s="133" t="s">
        <v>116</v>
      </c>
      <c r="EL9" s="134"/>
    </row>
    <row r="10" spans="1:142" s="21" customFormat="1" ht="135" customHeight="1" x14ac:dyDescent="0.4">
      <c r="A10" s="26" t="s">
        <v>117</v>
      </c>
      <c r="B10" s="26" t="s">
        <v>104</v>
      </c>
      <c r="C10" s="26" t="s">
        <v>105</v>
      </c>
      <c r="D10" s="26" t="s">
        <v>119</v>
      </c>
      <c r="E10" s="26" t="s">
        <v>118</v>
      </c>
      <c r="F10" s="26" t="s">
        <v>97</v>
      </c>
      <c r="G10" s="26" t="s">
        <v>120</v>
      </c>
      <c r="H10" s="26" t="s">
        <v>155</v>
      </c>
      <c r="I10" s="37" t="s">
        <v>156</v>
      </c>
      <c r="J10" s="33" t="s">
        <v>124</v>
      </c>
      <c r="K10" s="37" t="s">
        <v>151</v>
      </c>
      <c r="L10" s="26" t="s">
        <v>125</v>
      </c>
      <c r="M10" s="26" t="s">
        <v>126</v>
      </c>
      <c r="N10" s="26" t="s">
        <v>127</v>
      </c>
      <c r="O10" s="26" t="s">
        <v>129</v>
      </c>
      <c r="P10" s="26" t="s">
        <v>133</v>
      </c>
      <c r="Q10" s="26" t="s">
        <v>134</v>
      </c>
      <c r="R10" s="26" t="s">
        <v>135</v>
      </c>
      <c r="S10" s="11" t="s">
        <v>136</v>
      </c>
      <c r="T10" s="11" t="s">
        <v>0</v>
      </c>
      <c r="U10" s="11" t="s">
        <v>1</v>
      </c>
      <c r="V10" s="11" t="s">
        <v>2</v>
      </c>
      <c r="W10" s="11" t="s">
        <v>3</v>
      </c>
      <c r="X10" s="11" t="s">
        <v>4</v>
      </c>
      <c r="Y10" s="15" t="s">
        <v>5</v>
      </c>
      <c r="Z10" s="15" t="s">
        <v>6</v>
      </c>
      <c r="AA10" s="15" t="s">
        <v>7</v>
      </c>
      <c r="AB10" s="16" t="s">
        <v>8</v>
      </c>
      <c r="AC10" s="13" t="s">
        <v>9</v>
      </c>
      <c r="AD10" s="13" t="s">
        <v>10</v>
      </c>
      <c r="AE10" s="13" t="s">
        <v>11</v>
      </c>
      <c r="AF10" s="13" t="s">
        <v>12</v>
      </c>
      <c r="AG10" s="7" t="s">
        <v>107</v>
      </c>
      <c r="AH10" s="7" t="s">
        <v>109</v>
      </c>
      <c r="AI10" s="7" t="s">
        <v>13</v>
      </c>
      <c r="AJ10" s="7" t="s">
        <v>14</v>
      </c>
      <c r="AK10" s="7" t="s">
        <v>15</v>
      </c>
      <c r="AL10" s="19" t="s">
        <v>16</v>
      </c>
      <c r="AM10" s="19" t="s">
        <v>17</v>
      </c>
      <c r="AN10" s="19" t="s">
        <v>18</v>
      </c>
      <c r="AO10" s="19" t="s">
        <v>19</v>
      </c>
      <c r="AP10" s="19" t="s">
        <v>20</v>
      </c>
      <c r="AQ10" s="19" t="s">
        <v>21</v>
      </c>
      <c r="AR10" s="19" t="s">
        <v>22</v>
      </c>
      <c r="AS10" s="19" t="s">
        <v>23</v>
      </c>
      <c r="AT10" s="19" t="s">
        <v>24</v>
      </c>
      <c r="AU10" s="19" t="s">
        <v>25</v>
      </c>
      <c r="AV10" s="40" t="s">
        <v>112</v>
      </c>
      <c r="AW10" s="40" t="s">
        <v>113</v>
      </c>
      <c r="AX10" s="11" t="s">
        <v>136</v>
      </c>
      <c r="AY10" s="11" t="s">
        <v>0</v>
      </c>
      <c r="AZ10" s="11" t="s">
        <v>1</v>
      </c>
      <c r="BA10" s="11" t="s">
        <v>2</v>
      </c>
      <c r="BB10" s="11" t="s">
        <v>3</v>
      </c>
      <c r="BC10" s="11" t="s">
        <v>4</v>
      </c>
      <c r="BD10" s="15" t="s">
        <v>5</v>
      </c>
      <c r="BE10" s="15" t="s">
        <v>6</v>
      </c>
      <c r="BF10" s="15" t="s">
        <v>7</v>
      </c>
      <c r="BG10" s="16" t="s">
        <v>8</v>
      </c>
      <c r="BH10" s="13" t="s">
        <v>9</v>
      </c>
      <c r="BI10" s="13" t="s">
        <v>10</v>
      </c>
      <c r="BJ10" s="13" t="s">
        <v>11</v>
      </c>
      <c r="BK10" s="13" t="s">
        <v>12</v>
      </c>
      <c r="BL10" s="7" t="s">
        <v>107</v>
      </c>
      <c r="BM10" s="7" t="s">
        <v>109</v>
      </c>
      <c r="BN10" s="7" t="s">
        <v>13</v>
      </c>
      <c r="BO10" s="7" t="s">
        <v>14</v>
      </c>
      <c r="BP10" s="7" t="s">
        <v>15</v>
      </c>
      <c r="BQ10" s="19" t="s">
        <v>16</v>
      </c>
      <c r="BR10" s="19" t="s">
        <v>17</v>
      </c>
      <c r="BS10" s="19" t="s">
        <v>18</v>
      </c>
      <c r="BT10" s="19" t="s">
        <v>19</v>
      </c>
      <c r="BU10" s="19" t="s">
        <v>20</v>
      </c>
      <c r="BV10" s="19" t="s">
        <v>21</v>
      </c>
      <c r="BW10" s="19" t="s">
        <v>22</v>
      </c>
      <c r="BX10" s="19" t="s">
        <v>23</v>
      </c>
      <c r="BY10" s="19" t="s">
        <v>24</v>
      </c>
      <c r="BZ10" s="19" t="s">
        <v>25</v>
      </c>
      <c r="CA10" s="40" t="s">
        <v>112</v>
      </c>
      <c r="CB10" s="40" t="s">
        <v>113</v>
      </c>
      <c r="CC10" s="11" t="s">
        <v>136</v>
      </c>
      <c r="CD10" s="11" t="s">
        <v>0</v>
      </c>
      <c r="CE10" s="11" t="s">
        <v>1</v>
      </c>
      <c r="CF10" s="11" t="s">
        <v>2</v>
      </c>
      <c r="CG10" s="11" t="s">
        <v>3</v>
      </c>
      <c r="CH10" s="11" t="s">
        <v>4</v>
      </c>
      <c r="CI10" s="15" t="s">
        <v>5</v>
      </c>
      <c r="CJ10" s="15" t="s">
        <v>6</v>
      </c>
      <c r="CK10" s="15" t="s">
        <v>7</v>
      </c>
      <c r="CL10" s="16" t="s">
        <v>8</v>
      </c>
      <c r="CM10" s="13" t="s">
        <v>9</v>
      </c>
      <c r="CN10" s="13" t="s">
        <v>10</v>
      </c>
      <c r="CO10" s="13" t="s">
        <v>11</v>
      </c>
      <c r="CP10" s="13" t="s">
        <v>12</v>
      </c>
      <c r="CQ10" s="7" t="s">
        <v>107</v>
      </c>
      <c r="CR10" s="7" t="s">
        <v>109</v>
      </c>
      <c r="CS10" s="7" t="s">
        <v>13</v>
      </c>
      <c r="CT10" s="7" t="s">
        <v>14</v>
      </c>
      <c r="CU10" s="7" t="s">
        <v>15</v>
      </c>
      <c r="CV10" s="19" t="s">
        <v>16</v>
      </c>
      <c r="CW10" s="19" t="s">
        <v>17</v>
      </c>
      <c r="CX10" s="19" t="s">
        <v>18</v>
      </c>
      <c r="CY10" s="19" t="s">
        <v>19</v>
      </c>
      <c r="CZ10" s="19" t="s">
        <v>20</v>
      </c>
      <c r="DA10" s="19" t="s">
        <v>142</v>
      </c>
      <c r="DB10" s="19" t="s">
        <v>143</v>
      </c>
      <c r="DC10" s="19" t="s">
        <v>23</v>
      </c>
      <c r="DD10" s="19" t="s">
        <v>24</v>
      </c>
      <c r="DE10" s="19" t="s">
        <v>25</v>
      </c>
      <c r="DF10" s="40" t="s">
        <v>112</v>
      </c>
      <c r="DG10" s="40" t="s">
        <v>113</v>
      </c>
      <c r="DH10" s="11" t="s">
        <v>136</v>
      </c>
      <c r="DI10" s="11" t="s">
        <v>0</v>
      </c>
      <c r="DJ10" s="11" t="s">
        <v>1</v>
      </c>
      <c r="DK10" s="11" t="s">
        <v>2</v>
      </c>
      <c r="DL10" s="11" t="s">
        <v>3</v>
      </c>
      <c r="DM10" s="11" t="s">
        <v>4</v>
      </c>
      <c r="DN10" s="15" t="s">
        <v>5</v>
      </c>
      <c r="DO10" s="15" t="s">
        <v>6</v>
      </c>
      <c r="DP10" s="15" t="s">
        <v>7</v>
      </c>
      <c r="DQ10" s="16" t="s">
        <v>8</v>
      </c>
      <c r="DR10" s="13" t="s">
        <v>9</v>
      </c>
      <c r="DS10" s="13" t="s">
        <v>10</v>
      </c>
      <c r="DT10" s="13" t="s">
        <v>11</v>
      </c>
      <c r="DU10" s="13" t="s">
        <v>12</v>
      </c>
      <c r="DV10" s="7" t="s">
        <v>107</v>
      </c>
      <c r="DW10" s="7" t="s">
        <v>109</v>
      </c>
      <c r="DX10" s="7" t="s">
        <v>13</v>
      </c>
      <c r="DY10" s="7" t="s">
        <v>14</v>
      </c>
      <c r="DZ10" s="7" t="s">
        <v>15</v>
      </c>
      <c r="EA10" s="19" t="s">
        <v>16</v>
      </c>
      <c r="EB10" s="19" t="s">
        <v>17</v>
      </c>
      <c r="EC10" s="19" t="s">
        <v>18</v>
      </c>
      <c r="ED10" s="19" t="s">
        <v>19</v>
      </c>
      <c r="EE10" s="19" t="s">
        <v>20</v>
      </c>
      <c r="EF10" s="19" t="s">
        <v>21</v>
      </c>
      <c r="EG10" s="19" t="s">
        <v>22</v>
      </c>
      <c r="EH10" s="19" t="s">
        <v>23</v>
      </c>
      <c r="EI10" s="19" t="s">
        <v>24</v>
      </c>
      <c r="EJ10" s="19" t="s">
        <v>25</v>
      </c>
      <c r="EK10" s="40" t="s">
        <v>112</v>
      </c>
      <c r="EL10" s="40" t="s">
        <v>113</v>
      </c>
    </row>
    <row r="11" spans="1:142" s="1" customFormat="1" ht="46.5" customHeight="1" thickBot="1" x14ac:dyDescent="0.45">
      <c r="A11" s="66" t="s">
        <v>93</v>
      </c>
      <c r="B11" s="76" t="s">
        <v>122</v>
      </c>
      <c r="C11" s="66" t="s">
        <v>121</v>
      </c>
      <c r="D11" s="66" t="s">
        <v>95</v>
      </c>
      <c r="E11" s="66" t="s">
        <v>96</v>
      </c>
      <c r="F11" s="66" t="s">
        <v>97</v>
      </c>
      <c r="G11" s="66" t="s">
        <v>101</v>
      </c>
      <c r="H11" s="66" t="s">
        <v>157</v>
      </c>
      <c r="I11" s="66" t="s">
        <v>153</v>
      </c>
      <c r="J11" s="66" t="s">
        <v>123</v>
      </c>
      <c r="K11" s="66" t="s">
        <v>152</v>
      </c>
      <c r="L11" s="66" t="s">
        <v>98</v>
      </c>
      <c r="M11" s="66" t="s">
        <v>99</v>
      </c>
      <c r="N11" s="66" t="s">
        <v>128</v>
      </c>
      <c r="O11" s="66" t="s">
        <v>102</v>
      </c>
      <c r="P11" s="66" t="s">
        <v>92</v>
      </c>
      <c r="Q11" s="66" t="s">
        <v>51</v>
      </c>
      <c r="R11" s="66" t="s">
        <v>52</v>
      </c>
      <c r="S11" s="67" t="s">
        <v>253</v>
      </c>
      <c r="T11" s="67" t="s">
        <v>50</v>
      </c>
      <c r="U11" s="67" t="s">
        <v>47</v>
      </c>
      <c r="V11" s="67" t="s">
        <v>48</v>
      </c>
      <c r="W11" s="67" t="s">
        <v>49</v>
      </c>
      <c r="X11" s="67" t="s">
        <v>26</v>
      </c>
      <c r="Y11" s="68" t="s">
        <v>5</v>
      </c>
      <c r="Z11" s="68" t="s">
        <v>27</v>
      </c>
      <c r="AA11" s="68" t="s">
        <v>28</v>
      </c>
      <c r="AB11" s="69" t="s">
        <v>29</v>
      </c>
      <c r="AC11" s="70" t="s">
        <v>46</v>
      </c>
      <c r="AD11" s="70" t="s">
        <v>45</v>
      </c>
      <c r="AE11" s="70" t="s">
        <v>30</v>
      </c>
      <c r="AF11" s="70" t="s">
        <v>31</v>
      </c>
      <c r="AG11" s="71" t="s">
        <v>130</v>
      </c>
      <c r="AH11" s="71" t="s">
        <v>131</v>
      </c>
      <c r="AI11" s="71" t="s">
        <v>42</v>
      </c>
      <c r="AJ11" s="71" t="s">
        <v>41</v>
      </c>
      <c r="AK11" s="71" t="s">
        <v>40</v>
      </c>
      <c r="AL11" s="72" t="s">
        <v>39</v>
      </c>
      <c r="AM11" s="72" t="s">
        <v>38</v>
      </c>
      <c r="AN11" s="72" t="s">
        <v>44</v>
      </c>
      <c r="AO11" s="72" t="s">
        <v>32</v>
      </c>
      <c r="AP11" s="72" t="s">
        <v>37</v>
      </c>
      <c r="AQ11" s="72" t="s">
        <v>36</v>
      </c>
      <c r="AR11" s="72" t="s">
        <v>43</v>
      </c>
      <c r="AS11" s="72" t="s">
        <v>35</v>
      </c>
      <c r="AT11" s="72" t="s">
        <v>34</v>
      </c>
      <c r="AU11" s="72" t="s">
        <v>274</v>
      </c>
      <c r="AV11" s="73" t="s">
        <v>114</v>
      </c>
      <c r="AW11" s="73" t="s">
        <v>115</v>
      </c>
      <c r="AX11" s="74" t="s">
        <v>161</v>
      </c>
      <c r="AY11" s="67" t="s">
        <v>162</v>
      </c>
      <c r="AZ11" s="67" t="s">
        <v>163</v>
      </c>
      <c r="BA11" s="67" t="s">
        <v>164</v>
      </c>
      <c r="BB11" s="67" t="s">
        <v>165</v>
      </c>
      <c r="BC11" s="67" t="s">
        <v>166</v>
      </c>
      <c r="BD11" s="68" t="s">
        <v>167</v>
      </c>
      <c r="BE11" s="68" t="s">
        <v>168</v>
      </c>
      <c r="BF11" s="68" t="s">
        <v>169</v>
      </c>
      <c r="BG11" s="69" t="s">
        <v>170</v>
      </c>
      <c r="BH11" s="70" t="s">
        <v>171</v>
      </c>
      <c r="BI11" s="70" t="s">
        <v>172</v>
      </c>
      <c r="BJ11" s="70" t="s">
        <v>173</v>
      </c>
      <c r="BK11" s="70" t="s">
        <v>174</v>
      </c>
      <c r="BL11" s="71" t="s">
        <v>175</v>
      </c>
      <c r="BM11" s="71" t="s">
        <v>176</v>
      </c>
      <c r="BN11" s="71" t="s">
        <v>177</v>
      </c>
      <c r="BO11" s="71" t="s">
        <v>178</v>
      </c>
      <c r="BP11" s="71" t="s">
        <v>179</v>
      </c>
      <c r="BQ11" s="72" t="s">
        <v>180</v>
      </c>
      <c r="BR11" s="72" t="s">
        <v>181</v>
      </c>
      <c r="BS11" s="72" t="s">
        <v>182</v>
      </c>
      <c r="BT11" s="72" t="s">
        <v>183</v>
      </c>
      <c r="BU11" s="72" t="s">
        <v>184</v>
      </c>
      <c r="BV11" s="72" t="s">
        <v>185</v>
      </c>
      <c r="BW11" s="72" t="s">
        <v>186</v>
      </c>
      <c r="BX11" s="72" t="s">
        <v>187</v>
      </c>
      <c r="BY11" s="72" t="s">
        <v>188</v>
      </c>
      <c r="BZ11" s="72" t="s">
        <v>276</v>
      </c>
      <c r="CA11" s="73" t="s">
        <v>189</v>
      </c>
      <c r="CB11" s="73" t="s">
        <v>190</v>
      </c>
      <c r="CC11" s="74" t="s">
        <v>191</v>
      </c>
      <c r="CD11" s="67" t="s">
        <v>192</v>
      </c>
      <c r="CE11" s="67" t="s">
        <v>193</v>
      </c>
      <c r="CF11" s="67" t="s">
        <v>194</v>
      </c>
      <c r="CG11" s="67" t="s">
        <v>195</v>
      </c>
      <c r="CH11" s="67" t="s">
        <v>196</v>
      </c>
      <c r="CI11" s="68" t="s">
        <v>197</v>
      </c>
      <c r="CJ11" s="68" t="s">
        <v>198</v>
      </c>
      <c r="CK11" s="68" t="s">
        <v>199</v>
      </c>
      <c r="CL11" s="69" t="s">
        <v>200</v>
      </c>
      <c r="CM11" s="70" t="s">
        <v>201</v>
      </c>
      <c r="CN11" s="70" t="s">
        <v>202</v>
      </c>
      <c r="CO11" s="70" t="s">
        <v>203</v>
      </c>
      <c r="CP11" s="70" t="s">
        <v>204</v>
      </c>
      <c r="CQ11" s="71" t="s">
        <v>205</v>
      </c>
      <c r="CR11" s="71" t="s">
        <v>206</v>
      </c>
      <c r="CS11" s="71" t="s">
        <v>207</v>
      </c>
      <c r="CT11" s="71" t="s">
        <v>208</v>
      </c>
      <c r="CU11" s="71" t="s">
        <v>209</v>
      </c>
      <c r="CV11" s="72" t="s">
        <v>210</v>
      </c>
      <c r="CW11" s="72" t="s">
        <v>211</v>
      </c>
      <c r="CX11" s="72" t="s">
        <v>212</v>
      </c>
      <c r="CY11" s="72" t="s">
        <v>213</v>
      </c>
      <c r="CZ11" s="72" t="s">
        <v>214</v>
      </c>
      <c r="DA11" s="72" t="s">
        <v>215</v>
      </c>
      <c r="DB11" s="72" t="s">
        <v>216</v>
      </c>
      <c r="DC11" s="72" t="s">
        <v>217</v>
      </c>
      <c r="DD11" s="72" t="s">
        <v>218</v>
      </c>
      <c r="DE11" s="72" t="s">
        <v>277</v>
      </c>
      <c r="DF11" s="73" t="s">
        <v>219</v>
      </c>
      <c r="DG11" s="73" t="s">
        <v>220</v>
      </c>
      <c r="DH11" s="74" t="s">
        <v>221</v>
      </c>
      <c r="DI11" s="67" t="s">
        <v>222</v>
      </c>
      <c r="DJ11" s="67" t="s">
        <v>223</v>
      </c>
      <c r="DK11" s="67" t="s">
        <v>224</v>
      </c>
      <c r="DL11" s="67" t="s">
        <v>225</v>
      </c>
      <c r="DM11" s="67" t="s">
        <v>226</v>
      </c>
      <c r="DN11" s="68" t="s">
        <v>227</v>
      </c>
      <c r="DO11" s="68" t="s">
        <v>228</v>
      </c>
      <c r="DP11" s="68" t="s">
        <v>229</v>
      </c>
      <c r="DQ11" s="69" t="s">
        <v>230</v>
      </c>
      <c r="DR11" s="70" t="s">
        <v>231</v>
      </c>
      <c r="DS11" s="70" t="s">
        <v>232</v>
      </c>
      <c r="DT11" s="70" t="s">
        <v>233</v>
      </c>
      <c r="DU11" s="70" t="s">
        <v>234</v>
      </c>
      <c r="DV11" s="71" t="s">
        <v>235</v>
      </c>
      <c r="DW11" s="71" t="s">
        <v>236</v>
      </c>
      <c r="DX11" s="71" t="s">
        <v>237</v>
      </c>
      <c r="DY11" s="71" t="s">
        <v>238</v>
      </c>
      <c r="DZ11" s="71" t="s">
        <v>239</v>
      </c>
      <c r="EA11" s="72" t="s">
        <v>240</v>
      </c>
      <c r="EB11" s="72" t="s">
        <v>241</v>
      </c>
      <c r="EC11" s="72" t="s">
        <v>242</v>
      </c>
      <c r="ED11" s="72" t="s">
        <v>243</v>
      </c>
      <c r="EE11" s="72" t="s">
        <v>244</v>
      </c>
      <c r="EF11" s="72" t="s">
        <v>245</v>
      </c>
      <c r="EG11" s="72" t="s">
        <v>246</v>
      </c>
      <c r="EH11" s="72" t="s">
        <v>247</v>
      </c>
      <c r="EI11" s="72" t="s">
        <v>248</v>
      </c>
      <c r="EJ11" s="72" t="s">
        <v>249</v>
      </c>
      <c r="EK11" s="73" t="s">
        <v>250</v>
      </c>
      <c r="EL11" s="73" t="s">
        <v>251</v>
      </c>
    </row>
    <row r="12" spans="1:142" s="2" customFormat="1" ht="14.15" customHeight="1" thickBot="1" x14ac:dyDescent="0.45">
      <c r="A12" s="21">
        <v>100</v>
      </c>
      <c r="B12" s="21" t="s">
        <v>94</v>
      </c>
      <c r="C12" s="21">
        <v>112.282453</v>
      </c>
      <c r="D12" s="21">
        <v>620213.9</v>
      </c>
      <c r="E12" s="21">
        <v>6082124.7000000002</v>
      </c>
      <c r="F12" s="21">
        <v>828.2</v>
      </c>
      <c r="G12" s="21">
        <v>14</v>
      </c>
      <c r="H12" s="21">
        <v>0</v>
      </c>
      <c r="I12" s="21">
        <v>57.7</v>
      </c>
      <c r="J12" s="21">
        <v>0</v>
      </c>
      <c r="K12" s="21">
        <v>100</v>
      </c>
      <c r="L12" s="21">
        <v>3.5</v>
      </c>
      <c r="M12" s="21">
        <v>100</v>
      </c>
      <c r="N12" s="21">
        <v>0</v>
      </c>
      <c r="O12" s="35">
        <v>5</v>
      </c>
      <c r="P12" s="21">
        <v>90</v>
      </c>
      <c r="Q12" s="4">
        <v>781.16</v>
      </c>
      <c r="R12" s="4">
        <v>30.899999619999999</v>
      </c>
      <c r="S12" s="59">
        <f>IF(H12=1,($K12*$L12)*($C$2/100),($I12*$L12)*($C$2/100))</f>
        <v>50.487500000000004</v>
      </c>
      <c r="T12" s="61">
        <f>(-1.5+6.51)/(1+EXP(0.94-5.3*SIN(RADIANS($G12))))</f>
        <v>2.9294544238463396</v>
      </c>
      <c r="U12" s="62">
        <f>2.67*$P12+84.69*T12</f>
        <v>488.39549515554648</v>
      </c>
      <c r="V12" s="62">
        <f>U12*$Q12</f>
        <v>381515.02499570668</v>
      </c>
      <c r="W12" s="58">
        <f>V12*(100*100)</f>
        <v>3815150249.957067</v>
      </c>
      <c r="X12" s="61">
        <f>W12/(1000*1000*1000)</f>
        <v>3.8151502499570671</v>
      </c>
      <c r="Y12" s="58">
        <f>0.5</f>
        <v>0.5</v>
      </c>
      <c r="Z12" s="58">
        <f>11.74</f>
        <v>11.74</v>
      </c>
      <c r="AA12" s="58">
        <f>336/1000</f>
        <v>0.33600000000000002</v>
      </c>
      <c r="AB12" s="61">
        <f>(($S12)*($R12-Z12)*Y12/1000)</f>
        <v>0.48367024040737505</v>
      </c>
      <c r="AC12" s="62">
        <f>IF(AB12-($C12*AA12/5)&gt;0,AB12-($C12*AA12/5),0)</f>
        <v>0</v>
      </c>
      <c r="AD12" s="62">
        <f>IF((AF12-$C12)/AF12*AB12&gt;0,(AF12-$C12)/AF12*AB12,0)</f>
        <v>0</v>
      </c>
      <c r="AE12" s="62">
        <f>5*AB12/AA12</f>
        <v>7.1974738155859379</v>
      </c>
      <c r="AF12" s="62">
        <f>AE12*3</f>
        <v>21.592421446757815</v>
      </c>
      <c r="AG12" s="58">
        <f>IFERROR(IF(AJ12&lt;AK12,0,1),"")</f>
        <v>0</v>
      </c>
      <c r="AH12" s="58">
        <f>$N12</f>
        <v>0</v>
      </c>
      <c r="AI12" s="63">
        <f>$O12</f>
        <v>5</v>
      </c>
      <c r="AJ12" s="58">
        <f>S12</f>
        <v>50.487500000000004</v>
      </c>
      <c r="AK12" s="58">
        <f>IFERROR(70/SIN(RADIANS(AI12)),"")</f>
        <v>803.15992719688995</v>
      </c>
      <c r="AL12" s="58">
        <f>IF(AH12=1,AD12,AC12)</f>
        <v>0</v>
      </c>
      <c r="AM12" s="64">
        <f>AJ12/(100*100)</f>
        <v>5.0487500000000003E-3</v>
      </c>
      <c r="AN12" s="63">
        <f>AM12*X12</f>
        <v>1.9261739824470745E-2</v>
      </c>
      <c r="AO12" s="58">
        <f>AN12*1000*1000</f>
        <v>19261.739824470744</v>
      </c>
      <c r="AP12" s="62">
        <f>AO12/(AB12*1000)</f>
        <v>39.824116133850602</v>
      </c>
      <c r="AQ12" s="65">
        <f>$C12/AF12*100</f>
        <v>520.0086209731686</v>
      </c>
      <c r="AR12" s="65">
        <f>($C12/AE12)*100</f>
        <v>1560.0258629195057</v>
      </c>
      <c r="AS12" s="62">
        <f>AP12*EXP(-0.0156*AQ12)</f>
        <v>1.1942380424133783E-2</v>
      </c>
      <c r="AT12" s="62">
        <f>AP12*EXP(-0.0156*AR12)</f>
        <v>1.0739409757782769E-9</v>
      </c>
      <c r="AU12" s="62">
        <f>IF(AH12=1,AS12*AD12,AT12*AC12)</f>
        <v>0</v>
      </c>
      <c r="AV12" s="62">
        <f>IF(($C12-AE12)&gt;0,($C12-AE12),0)</f>
        <v>105.08497918441407</v>
      </c>
      <c r="AW12" s="62">
        <f>IF(($C12-AF12)&gt;0,($C12-AF12),0)</f>
        <v>90.690031553242193</v>
      </c>
      <c r="AX12" s="75">
        <f>IF(H12=1,($K12*$L12)*($C$3/100),($I12*$L12)*($C$3/100))</f>
        <v>100.97500000000001</v>
      </c>
      <c r="AY12" s="61">
        <f>(-1.5+6.51)/(1+EXP(0.94-5.3*SIN(RADIANS($G12))))</f>
        <v>2.9294544238463396</v>
      </c>
      <c r="AZ12" s="62">
        <f>2.67*$P12+84.69*AY12</f>
        <v>488.39549515554648</v>
      </c>
      <c r="BA12" s="62">
        <f>AZ12*$Q12</f>
        <v>381515.02499570668</v>
      </c>
      <c r="BB12" s="58">
        <f>BA12*(100*100)</f>
        <v>3815150249.957067</v>
      </c>
      <c r="BC12" s="61">
        <f>BB12/(1000*1000*1000)</f>
        <v>3.8151502499570671</v>
      </c>
      <c r="BD12" s="58">
        <f>0.5</f>
        <v>0.5</v>
      </c>
      <c r="BE12" s="58">
        <f>11.74</f>
        <v>11.74</v>
      </c>
      <c r="BF12" s="58">
        <f>336/1000</f>
        <v>0.33600000000000002</v>
      </c>
      <c r="BG12" s="61">
        <f>(($AX12)*($R12-BE12)*BD12/1000)</f>
        <v>0.9673404808147501</v>
      </c>
      <c r="BH12" s="62">
        <f>IF(BG12-($C12*BF12/5)&gt;0,BG12-($C12*BF12/5),0)</f>
        <v>0</v>
      </c>
      <c r="BI12" s="62">
        <f>IF((BK12-$C12)/BK12*BG12&gt;0,(BK12-$C12)/BK12*BG12,0)</f>
        <v>0</v>
      </c>
      <c r="BJ12" s="62">
        <f>5*BG12/BF12</f>
        <v>14.394947631171876</v>
      </c>
      <c r="BK12" s="62">
        <f>BJ12*3</f>
        <v>43.184842893515629</v>
      </c>
      <c r="BL12" s="58">
        <f>IFERROR(IF(BO12&lt;BP12,0,1),"")</f>
        <v>0</v>
      </c>
      <c r="BM12" s="58">
        <f>$N12</f>
        <v>0</v>
      </c>
      <c r="BN12" s="63">
        <f>$O12</f>
        <v>5</v>
      </c>
      <c r="BO12" s="58">
        <f>$AX12</f>
        <v>100.97500000000001</v>
      </c>
      <c r="BP12" s="58">
        <f>IFERROR(70/SIN(RADIANS(BN12)),"")</f>
        <v>803.15992719688995</v>
      </c>
      <c r="BQ12" s="58">
        <f>IF(BM12=1,BI12,BH12)</f>
        <v>0</v>
      </c>
      <c r="BR12" s="64">
        <f>BO12/(100*100)</f>
        <v>1.0097500000000001E-2</v>
      </c>
      <c r="BS12" s="63">
        <f>BR12*BC12</f>
        <v>3.852347964894149E-2</v>
      </c>
      <c r="BT12" s="58">
        <f>BS12*1000*1000</f>
        <v>38523.479648941488</v>
      </c>
      <c r="BU12" s="62">
        <f>BT12/(BG12*1000)</f>
        <v>39.824116133850602</v>
      </c>
      <c r="BV12" s="65">
        <f>$C12/BK12*100</f>
        <v>260.0043104865843</v>
      </c>
      <c r="BW12" s="65">
        <f>($C12/BJ12)*100</f>
        <v>780.01293145975285</v>
      </c>
      <c r="BX12" s="62">
        <f>BU12*EXP(-0.0156*BV12)</f>
        <v>0.68963377594584774</v>
      </c>
      <c r="BY12" s="62">
        <f>BU12*EXP(-0.0156*BW12)</f>
        <v>2.0680606891552999E-4</v>
      </c>
      <c r="BZ12" s="62">
        <f>IF(BM12=1,BX12*BI12,BY12*BH12)</f>
        <v>0</v>
      </c>
      <c r="CA12" s="62">
        <f>IF(($C12-BJ12)&gt;0,($C12-BJ12),0)</f>
        <v>97.88750536882813</v>
      </c>
      <c r="CB12" s="62">
        <f>IF(($C12-BK12)&gt;0,($C12-BK12),0)</f>
        <v>69.097610106484382</v>
      </c>
      <c r="CC12" s="75">
        <f>IF(H12=1,($K12*$L12)*($C$4/100),($I12*$L12)*($C$4/100))</f>
        <v>151.46250000000001</v>
      </c>
      <c r="CD12" s="61">
        <f>(-1.5+6.51)/(1+EXP(0.94-5.3*SIN(RADIANS($G12))))</f>
        <v>2.9294544238463396</v>
      </c>
      <c r="CE12" s="62">
        <f>2.67*$P12+84.69*CD12</f>
        <v>488.39549515554648</v>
      </c>
      <c r="CF12" s="62">
        <f>CE12*$Q12</f>
        <v>381515.02499570668</v>
      </c>
      <c r="CG12" s="58">
        <f>CF12*(100*100)</f>
        <v>3815150249.957067</v>
      </c>
      <c r="CH12" s="61">
        <f>CG12/(1000*1000*1000)</f>
        <v>3.8151502499570671</v>
      </c>
      <c r="CI12" s="58">
        <f>0.5</f>
        <v>0.5</v>
      </c>
      <c r="CJ12" s="58">
        <f>11.74</f>
        <v>11.74</v>
      </c>
      <c r="CK12" s="58">
        <f>336/1000</f>
        <v>0.33600000000000002</v>
      </c>
      <c r="CL12" s="61">
        <f>(($CC12)*($R12-CJ12)*CI12/1000)</f>
        <v>1.451010721222125</v>
      </c>
      <c r="CM12" s="62">
        <f>IF(CL12-($C12*CK12/5)&gt;0,CL12-($C12*CK12/5),0)</f>
        <v>0</v>
      </c>
      <c r="CN12" s="62">
        <f>IF((CP12-$C12)/CP12*CL12&gt;0,(CP12-$C12)/CP12*CL12,0)</f>
        <v>0</v>
      </c>
      <c r="CO12" s="62">
        <f>5*CL12/CK12</f>
        <v>21.592421446757811</v>
      </c>
      <c r="CP12" s="62">
        <f>CO12*3</f>
        <v>64.777264340273433</v>
      </c>
      <c r="CQ12" s="58">
        <f>IFERROR(IF(CT12&lt;CU12,0,1),"")</f>
        <v>0</v>
      </c>
      <c r="CR12" s="58">
        <f>$N12</f>
        <v>0</v>
      </c>
      <c r="CS12" s="63">
        <f>$O12</f>
        <v>5</v>
      </c>
      <c r="CT12" s="58">
        <f>$CC12</f>
        <v>151.46250000000001</v>
      </c>
      <c r="CU12" s="58">
        <f>IFERROR(70/SIN(RADIANS(CS12)),"")</f>
        <v>803.15992719688995</v>
      </c>
      <c r="CV12" s="58">
        <f>IF(CR12=1,CN12,CM12)</f>
        <v>0</v>
      </c>
      <c r="CW12" s="64">
        <f>CT12/(100*100)</f>
        <v>1.514625E-2</v>
      </c>
      <c r="CX12" s="63">
        <f>CW12*CH12</f>
        <v>5.7785219473412225E-2</v>
      </c>
      <c r="CY12" s="58">
        <f>CX12*1000*1000</f>
        <v>57785.219473412224</v>
      </c>
      <c r="CZ12" s="62">
        <f>CY12/(CL12*1000)</f>
        <v>39.824116133850595</v>
      </c>
      <c r="DA12" s="65">
        <f>$C12/CP12*100</f>
        <v>173.3362069910562</v>
      </c>
      <c r="DB12" s="65">
        <f>($C12/CO12)*100</f>
        <v>520.00862097316872</v>
      </c>
      <c r="DC12" s="62">
        <f>CZ12*EXP(-0.0156*DA12)</f>
        <v>2.6655964274255073</v>
      </c>
      <c r="DD12" s="62">
        <f>CZ12*EXP(-0.0156*DB12)</f>
        <v>1.1942380424133758E-2</v>
      </c>
      <c r="DE12" s="62">
        <f>IF(CR12=1,DC12*CN12,DD12*CM12)</f>
        <v>0</v>
      </c>
      <c r="DF12" s="62">
        <f>IF(($C12-CO12)&gt;0,($C12-CO12),0)</f>
        <v>90.690031553242193</v>
      </c>
      <c r="DG12" s="62">
        <f>IF(($C12-CP12)&gt;0,($C12-CP12),0)</f>
        <v>47.505188659726571</v>
      </c>
      <c r="DH12" s="75">
        <f>IF(H12=1,($K12*$L12)*($C$5/100),($I12*$L12)*($C$5/100))</f>
        <v>201.95000000000002</v>
      </c>
      <c r="DI12" s="61">
        <f>(-1.5+6.51)/(1+EXP(0.94-5.3*SIN(RADIANS($G12))))</f>
        <v>2.9294544238463396</v>
      </c>
      <c r="DJ12" s="62">
        <f>2.67*$P12+84.69*DI12</f>
        <v>488.39549515554648</v>
      </c>
      <c r="DK12" s="62">
        <f>DJ12*$Q12</f>
        <v>381515.02499570668</v>
      </c>
      <c r="DL12" s="58">
        <f>DK12*(100*100)</f>
        <v>3815150249.957067</v>
      </c>
      <c r="DM12" s="61">
        <f>DL12/(1000*1000*1000)</f>
        <v>3.8151502499570671</v>
      </c>
      <c r="DN12" s="58">
        <f>0.5</f>
        <v>0.5</v>
      </c>
      <c r="DO12" s="58">
        <f>11.74</f>
        <v>11.74</v>
      </c>
      <c r="DP12" s="58">
        <f>336/1000</f>
        <v>0.33600000000000002</v>
      </c>
      <c r="DQ12" s="61">
        <f>(($DH12)*($R12-DO12)*DN12/1000)</f>
        <v>1.9346809616295002</v>
      </c>
      <c r="DR12" s="62">
        <f>IF(DQ12-($C12*DP12/5)&gt;0,DQ12-($C12*DP12/5),0)</f>
        <v>0</v>
      </c>
      <c r="DS12" s="62">
        <f>IF((DU12-$C12)/DU12*DQ12&gt;0,(DU12-$C12)/DU12*DQ12,0)</f>
        <v>0</v>
      </c>
      <c r="DT12" s="62">
        <f>5*DQ12/DP12</f>
        <v>28.789895262343752</v>
      </c>
      <c r="DU12" s="62">
        <f>DT12*3</f>
        <v>86.369685787031258</v>
      </c>
      <c r="DV12" s="58">
        <f>IFERROR(IF(DY12&lt;DZ12,0,1),"")</f>
        <v>0</v>
      </c>
      <c r="DW12" s="58">
        <f>$N12</f>
        <v>0</v>
      </c>
      <c r="DX12" s="63">
        <f>$O12</f>
        <v>5</v>
      </c>
      <c r="DY12" s="58">
        <f>$DH12</f>
        <v>201.95000000000002</v>
      </c>
      <c r="DZ12" s="58">
        <f>IFERROR(70/SIN(RADIANS(DX12)),"")</f>
        <v>803.15992719688995</v>
      </c>
      <c r="EA12" s="58">
        <f>IF(DW12=1,DS12,DR12)</f>
        <v>0</v>
      </c>
      <c r="EB12" s="64">
        <f>DY12/(100*100)</f>
        <v>2.0195000000000001E-2</v>
      </c>
      <c r="EC12" s="63">
        <f>EB12*DM12</f>
        <v>7.704695929788298E-2</v>
      </c>
      <c r="ED12" s="58">
        <f>EC12*1000*1000</f>
        <v>77046.959297882975</v>
      </c>
      <c r="EE12" s="62">
        <f>ED12/(DQ12*1000)</f>
        <v>39.824116133850602</v>
      </c>
      <c r="EF12" s="65">
        <f>$C12/DU12*100</f>
        <v>130.00215524329215</v>
      </c>
      <c r="EG12" s="65">
        <f>($C12/DT12)*100</f>
        <v>390.00646572987642</v>
      </c>
      <c r="EH12" s="62">
        <f>EE12*EXP(-0.0156*EF12)</f>
        <v>5.2406159545508908</v>
      </c>
      <c r="EI12" s="62">
        <f>EE12*EXP(-0.0156*EG12)</f>
        <v>9.0751688169847161E-2</v>
      </c>
      <c r="EJ12" s="62">
        <f>IF(DW12=1,EH12*DS12,EI12*DR12)</f>
        <v>0</v>
      </c>
      <c r="EK12" s="62">
        <f>IF(($C12-DT12)&gt;0,($C12-DT12),0)</f>
        <v>83.492557737656256</v>
      </c>
      <c r="EL12" s="62">
        <f>IF(($C12-DU12)&gt;0,($C12-DU12),0)</f>
        <v>25.912767212968745</v>
      </c>
    </row>
    <row r="13" spans="1:142" x14ac:dyDescent="0.4">
      <c r="A13" s="21">
        <v>91</v>
      </c>
      <c r="B13" s="21" t="s">
        <v>94</v>
      </c>
      <c r="C13" s="21">
        <v>61.332389999999997</v>
      </c>
      <c r="D13" s="21">
        <v>619988.69999999995</v>
      </c>
      <c r="E13" s="21">
        <v>6082088.5</v>
      </c>
      <c r="F13" s="21">
        <v>828.3</v>
      </c>
      <c r="G13" s="21">
        <v>2</v>
      </c>
      <c r="H13" s="21">
        <v>0</v>
      </c>
      <c r="I13" s="21">
        <v>19.29</v>
      </c>
      <c r="J13" s="21">
        <v>0</v>
      </c>
      <c r="K13" s="21">
        <v>100</v>
      </c>
      <c r="L13" s="21">
        <v>3.1</v>
      </c>
      <c r="M13" s="21">
        <v>100</v>
      </c>
      <c r="N13" s="21">
        <v>1</v>
      </c>
      <c r="O13" s="35">
        <v>13</v>
      </c>
      <c r="P13" s="21">
        <v>90</v>
      </c>
      <c r="Q13" s="4">
        <v>781.16</v>
      </c>
      <c r="R13" s="4">
        <v>30.899999619999999</v>
      </c>
      <c r="S13" s="59">
        <f t="shared" ref="S13:S59" si="0">IF(H13=1,($K13*$L13)*($C$2/100),($I13*$L13)*($C$2/100))</f>
        <v>14.94975</v>
      </c>
      <c r="T13" s="61">
        <f t="shared" ref="T13:T59" si="1">(-1.5+6.51)/(1+EXP(0.94-5.3*SIN(RADIANS($G13))))</f>
        <v>1.6018257472049382</v>
      </c>
      <c r="U13" s="62">
        <f t="shared" ref="U13:U59" si="2">2.67*$P13+84.69*T13</f>
        <v>375.95862253078622</v>
      </c>
      <c r="V13" s="62">
        <f t="shared" ref="V13:V59" si="3">U13*$Q13</f>
        <v>293683.83757614897</v>
      </c>
      <c r="W13" s="58">
        <f t="shared" ref="W13:W59" si="4">V13*(100*100)</f>
        <v>2936838375.7614899</v>
      </c>
      <c r="X13" s="61">
        <f t="shared" ref="X13:X59" si="5">W13/(1000*1000*1000)</f>
        <v>2.9368383757614898</v>
      </c>
      <c r="Y13" s="58">
        <f t="shared" ref="Y13:Y59" si="6">0.5</f>
        <v>0.5</v>
      </c>
      <c r="Z13" s="58">
        <f t="shared" ref="Z13:Z59" si="7">11.74</f>
        <v>11.74</v>
      </c>
      <c r="AA13" s="58">
        <f t="shared" ref="AA13:AA59" si="8">336/1000</f>
        <v>0.33600000000000002</v>
      </c>
      <c r="AB13" s="61">
        <f t="shared" ref="AB13:AB59" si="9">(($S13)*($R13-Z13)*Y13/1000)</f>
        <v>0.14321860215954751</v>
      </c>
      <c r="AC13" s="62">
        <f t="shared" ref="AC13:AC59" si="10">IF(AB13-($C13*AA13/5)&gt;0,AB13-($C13*AA13/5),0)</f>
        <v>0</v>
      </c>
      <c r="AD13" s="62">
        <f t="shared" ref="AD13:AD59" si="11">IF((AF13-$C13)/AF13*AB13&gt;0,(AF13-$C13)/AF13*AB13,0)</f>
        <v>0</v>
      </c>
      <c r="AE13" s="62">
        <f t="shared" ref="AE13:AE59" si="12">5*AB13/AA13</f>
        <v>2.13122919880279</v>
      </c>
      <c r="AF13" s="62">
        <f t="shared" ref="AF13:AF59" si="13">AE13*3</f>
        <v>6.3936875964083697</v>
      </c>
      <c r="AG13" s="58">
        <f t="shared" ref="AG13:AG59" si="14">IFERROR(IF(AJ13&lt;AK13,0,1),"")</f>
        <v>0</v>
      </c>
      <c r="AH13" s="58">
        <f t="shared" ref="AH13:AH59" si="15">$N13</f>
        <v>1</v>
      </c>
      <c r="AI13" s="63">
        <f t="shared" ref="AI13:AI59" si="16">$O13</f>
        <v>13</v>
      </c>
      <c r="AJ13" s="58">
        <f t="shared" ref="AJ13:AJ59" si="17">S13</f>
        <v>14.94975</v>
      </c>
      <c r="AK13" s="58">
        <f t="shared" ref="AK13:AK59" si="18">IFERROR(70/SIN(RADIANS(AI13)),"")</f>
        <v>311.17880378100608</v>
      </c>
      <c r="AL13" s="58">
        <f t="shared" ref="AL13:AL59" si="19">IF(AH13=1,AD13,AC13)</f>
        <v>0</v>
      </c>
      <c r="AM13" s="64">
        <f t="shared" ref="AM13:AM59" si="20">AJ13/(100*100)</f>
        <v>1.4949749999999999E-3</v>
      </c>
      <c r="AN13" s="63">
        <f t="shared" ref="AN13:AN59" si="21">AM13*X13</f>
        <v>4.3904999508040327E-3</v>
      </c>
      <c r="AO13" s="58">
        <f t="shared" ref="AO13:AO59" si="22">AN13*1000*1000</f>
        <v>4390.4999508040328</v>
      </c>
      <c r="AP13" s="62">
        <f t="shared" ref="AP13:AP59" si="23">AO13/(AB13*1000)</f>
        <v>30.655933549141576</v>
      </c>
      <c r="AQ13" s="65">
        <f t="shared" ref="AQ13:AQ59" si="24">$C13/AF13*100</f>
        <v>959.26472908143387</v>
      </c>
      <c r="AR13" s="65">
        <f t="shared" ref="AR13:AR59" si="25">($C13/AE13)*100</f>
        <v>2877.7941872443021</v>
      </c>
      <c r="AS13" s="62">
        <f t="shared" ref="AS13:AS59" si="26">AP13*EXP(-0.0156*AQ13)</f>
        <v>9.7163207043196865E-6</v>
      </c>
      <c r="AT13" s="62">
        <f t="shared" ref="AT13:AT59" si="27">AP13*EXP(-0.0156*AR13)</f>
        <v>9.7605981072907855E-19</v>
      </c>
      <c r="AU13" s="62">
        <f t="shared" ref="AU13:AU59" si="28">IF(AH13=1,AS13*AD13,AT13*AC13)</f>
        <v>0</v>
      </c>
      <c r="AV13" s="62">
        <f t="shared" ref="AV13:AV59" si="29">IF(($C13-AE13)&gt;0,($C13-AE13),0)</f>
        <v>59.201160801197204</v>
      </c>
      <c r="AW13" s="62">
        <f t="shared" ref="AW13:AW59" si="30">IF(($C13-AF13)&gt;0,($C13-AF13),0)</f>
        <v>54.938702403591627</v>
      </c>
      <c r="AX13" s="75">
        <f t="shared" ref="AX13:AX59" si="31">IF(H13=1,($K13*$L13)*($C$3/100),($I13*$L13)*($C$3/100))</f>
        <v>29.8995</v>
      </c>
      <c r="AY13" s="61">
        <f t="shared" ref="AY13:AY59" si="32">(-1.5+6.51)/(1+EXP(0.94-5.3*SIN(RADIANS($G13))))</f>
        <v>1.6018257472049382</v>
      </c>
      <c r="AZ13" s="62">
        <f t="shared" ref="AZ13:AZ59" si="33">2.67*$P13+84.69*AY13</f>
        <v>375.95862253078622</v>
      </c>
      <c r="BA13" s="62">
        <f t="shared" ref="BA13:BA59" si="34">AZ13*$Q13</f>
        <v>293683.83757614897</v>
      </c>
      <c r="BB13" s="58">
        <f t="shared" ref="BB13:BB59" si="35">BA13*(100*100)</f>
        <v>2936838375.7614899</v>
      </c>
      <c r="BC13" s="61">
        <f t="shared" ref="BC13:BC59" si="36">BB13/(1000*1000*1000)</f>
        <v>2.9368383757614898</v>
      </c>
      <c r="BD13" s="58">
        <f t="shared" ref="BD13:BD59" si="37">0.5</f>
        <v>0.5</v>
      </c>
      <c r="BE13" s="58">
        <f t="shared" ref="BE13:BE59" si="38">11.74</f>
        <v>11.74</v>
      </c>
      <c r="BF13" s="58">
        <f t="shared" ref="BF13:BF59" si="39">336/1000</f>
        <v>0.33600000000000002</v>
      </c>
      <c r="BG13" s="61">
        <f t="shared" ref="BG13:BG59" si="40">(($AX13)*($R13-BE13)*BD13/1000)</f>
        <v>0.28643720431909503</v>
      </c>
      <c r="BH13" s="62">
        <f t="shared" ref="BH13:BH59" si="41">IF(BG13-($C13*BF13/5)&gt;0,BG13-($C13*BF13/5),0)</f>
        <v>0</v>
      </c>
      <c r="BI13" s="62">
        <f t="shared" ref="BI13:BI59" si="42">IF((BK13-$C13)/BK13*BG13&gt;0,(BK13-$C13)/BK13*BG13,0)</f>
        <v>0</v>
      </c>
      <c r="BJ13" s="62">
        <f t="shared" ref="BJ13:BJ59" si="43">5*BG13/BF13</f>
        <v>4.2624583976055801</v>
      </c>
      <c r="BK13" s="62">
        <f t="shared" ref="BK13:BK59" si="44">BJ13*3</f>
        <v>12.787375192816739</v>
      </c>
      <c r="BL13" s="58">
        <f t="shared" ref="BL13:BL59" si="45">IFERROR(IF(BO13&lt;BP13,0,1),"")</f>
        <v>0</v>
      </c>
      <c r="BM13" s="58">
        <f t="shared" ref="BM13:BM59" si="46">$N13</f>
        <v>1</v>
      </c>
      <c r="BN13" s="63">
        <f t="shared" ref="BN13:BN59" si="47">$O13</f>
        <v>13</v>
      </c>
      <c r="BO13" s="58">
        <f t="shared" ref="BO13:BO59" si="48">$AX13</f>
        <v>29.8995</v>
      </c>
      <c r="BP13" s="58">
        <f t="shared" ref="BP13:BP59" si="49">IFERROR(70/SIN(RADIANS(BN13)),"")</f>
        <v>311.17880378100608</v>
      </c>
      <c r="BQ13" s="58">
        <f t="shared" ref="BQ13:BQ59" si="50">IF(BM13=1,BI13,BH13)</f>
        <v>0</v>
      </c>
      <c r="BR13" s="64">
        <f t="shared" ref="BR13:BR59" si="51">BO13/(100*100)</f>
        <v>2.9899499999999999E-3</v>
      </c>
      <c r="BS13" s="63">
        <f t="shared" ref="BS13:BS59" si="52">BR13*BC13</f>
        <v>8.7809999016080654E-3</v>
      </c>
      <c r="BT13" s="58">
        <f t="shared" ref="BT13:BT59" si="53">BS13*1000*1000</f>
        <v>8780.9999016080656</v>
      </c>
      <c r="BU13" s="62">
        <f t="shared" ref="BU13:BU59" si="54">BT13/(BG13*1000)</f>
        <v>30.655933549141576</v>
      </c>
      <c r="BV13" s="65">
        <f t="shared" ref="BV13:BV59" si="55">$C13/BK13*100</f>
        <v>479.63236454071694</v>
      </c>
      <c r="BW13" s="65">
        <f t="shared" ref="BW13:BW59" si="56">($C13/BJ13)*100</f>
        <v>1438.897093622151</v>
      </c>
      <c r="BX13" s="62">
        <f t="shared" ref="BX13:BX59" si="57">BU13*EXP(-0.0156*BV13)</f>
        <v>1.7258704524203802E-2</v>
      </c>
      <c r="BY13" s="62">
        <f t="shared" ref="BY13:BY59" si="58">BU13*EXP(-0.0156*BW13)</f>
        <v>5.4701028050392555E-9</v>
      </c>
      <c r="BZ13" s="62">
        <f t="shared" ref="BZ13:BZ59" si="59">IF(BM13=1,BX13*BI13,BY13*BH13)</f>
        <v>0</v>
      </c>
      <c r="CA13" s="62">
        <f t="shared" ref="CA13:CA59" si="60">IF(($C13-BJ13)&gt;0,($C13-BJ13),0)</f>
        <v>57.069931602394419</v>
      </c>
      <c r="CB13" s="62">
        <f t="shared" ref="CB13:CB59" si="61">IF(($C13-BK13)&gt;0,($C13-BK13),0)</f>
        <v>48.545014807183257</v>
      </c>
      <c r="CC13" s="75">
        <f t="shared" ref="CC13:CC59" si="62">IF(H13=1,($K13*$L13)*($C$4/100),($I13*$L13)*($C$4/100))</f>
        <v>44.849249999999998</v>
      </c>
      <c r="CD13" s="61">
        <f t="shared" ref="CD13:CD59" si="63">(-1.5+6.51)/(1+EXP(0.94-5.3*SIN(RADIANS($G13))))</f>
        <v>1.6018257472049382</v>
      </c>
      <c r="CE13" s="62">
        <f t="shared" ref="CE13:CE59" si="64">2.67*$P13+84.69*CD13</f>
        <v>375.95862253078622</v>
      </c>
      <c r="CF13" s="62">
        <f t="shared" ref="CF13:CF59" si="65">CE13*$Q13</f>
        <v>293683.83757614897</v>
      </c>
      <c r="CG13" s="58">
        <f t="shared" ref="CG13:CG59" si="66">CF13*(100*100)</f>
        <v>2936838375.7614899</v>
      </c>
      <c r="CH13" s="61">
        <f t="shared" ref="CH13:CH59" si="67">CG13/(1000*1000*1000)</f>
        <v>2.9368383757614898</v>
      </c>
      <c r="CI13" s="58">
        <f t="shared" ref="CI13:CI59" si="68">0.5</f>
        <v>0.5</v>
      </c>
      <c r="CJ13" s="58">
        <f t="shared" ref="CJ13:CJ59" si="69">11.74</f>
        <v>11.74</v>
      </c>
      <c r="CK13" s="58">
        <f t="shared" ref="CK13:CK59" si="70">336/1000</f>
        <v>0.33600000000000002</v>
      </c>
      <c r="CL13" s="61">
        <f t="shared" ref="CL13:CL59" si="71">(($CC13)*($R13-CJ13)*CI13/1000)</f>
        <v>0.42965580647864249</v>
      </c>
      <c r="CM13" s="62">
        <f t="shared" ref="CM13:CM59" si="72">IF(CL13-($C13*CK13/5)&gt;0,CL13-($C13*CK13/5),0)</f>
        <v>0</v>
      </c>
      <c r="CN13" s="62">
        <f t="shared" ref="CN13:CN59" si="73">IF((CP13-$C13)/CP13*CL13&gt;0,(CP13-$C13)/CP13*CL13,0)</f>
        <v>0</v>
      </c>
      <c r="CO13" s="62">
        <f t="shared" ref="CO13:CO59" si="74">5*CL13/CK13</f>
        <v>6.3936875964083706</v>
      </c>
      <c r="CP13" s="62">
        <f t="shared" ref="CP13:CP59" si="75">CO13*3</f>
        <v>19.181062789225113</v>
      </c>
      <c r="CQ13" s="58">
        <f t="shared" ref="CQ13:CQ59" si="76">IFERROR(IF(CT13&lt;CU13,0,1),"")</f>
        <v>0</v>
      </c>
      <c r="CR13" s="58">
        <f t="shared" ref="CR13:CR59" si="77">$N13</f>
        <v>1</v>
      </c>
      <c r="CS13" s="63">
        <f t="shared" ref="CS13:CS59" si="78">$O13</f>
        <v>13</v>
      </c>
      <c r="CT13" s="58">
        <f t="shared" ref="CT13:CT59" si="79">$CC13</f>
        <v>44.849249999999998</v>
      </c>
      <c r="CU13" s="58">
        <f t="shared" ref="CU13:CU59" si="80">IFERROR(70/SIN(RADIANS(CS13)),"")</f>
        <v>311.17880378100608</v>
      </c>
      <c r="CV13" s="58">
        <f t="shared" ref="CV13:CV59" si="81">IF(CR13=1,CN13,CM13)</f>
        <v>0</v>
      </c>
      <c r="CW13" s="64">
        <f t="shared" ref="CW13:CW59" si="82">CT13/(100*100)</f>
        <v>4.4849249999999998E-3</v>
      </c>
      <c r="CX13" s="63">
        <f t="shared" ref="CX13:CX59" si="83">CW13*CH13</f>
        <v>1.3171499852412099E-2</v>
      </c>
      <c r="CY13" s="58">
        <f t="shared" ref="CY13:CY59" si="84">CX13*1000*1000</f>
        <v>13171.499852412098</v>
      </c>
      <c r="CZ13" s="62">
        <f t="shared" ref="CZ13:CZ59" si="85">CY13/(CL13*1000)</f>
        <v>30.655933549141579</v>
      </c>
      <c r="DA13" s="65">
        <f t="shared" ref="DA13:DA59" si="86">$C13/CP13*100</f>
        <v>319.75490969381127</v>
      </c>
      <c r="DB13" s="65">
        <f t="shared" ref="DB13:DB59" si="87">($C13/CO13)*100</f>
        <v>959.26472908143387</v>
      </c>
      <c r="DC13" s="62">
        <f t="shared" ref="DC13:DC59" si="88">CZ13*EXP(-0.0156*DA13)</f>
        <v>0.20901477054150139</v>
      </c>
      <c r="DD13" s="62">
        <f t="shared" ref="DD13:DD59" si="89">CZ13*EXP(-0.0156*DB13)</f>
        <v>9.7163207043196882E-6</v>
      </c>
      <c r="DE13" s="62">
        <f t="shared" ref="DE13:DE59" si="90">IF(CR13=1,DC13*CN13,DD13*CM13)</f>
        <v>0</v>
      </c>
      <c r="DF13" s="62">
        <f t="shared" ref="DF13:DF59" si="91">IF(($C13-CO13)&gt;0,($C13-CO13),0)</f>
        <v>54.938702403591627</v>
      </c>
      <c r="DG13" s="62">
        <f t="shared" ref="DG13:DG59" si="92">IF(($C13-CP13)&gt;0,($C13-CP13),0)</f>
        <v>42.15132721077488</v>
      </c>
      <c r="DH13" s="75">
        <f t="shared" ref="DH13:DH59" si="93">IF(H13=1,($K13*$L13)*($C$5/100),($I13*$L13)*($C$5/100))</f>
        <v>59.798999999999999</v>
      </c>
      <c r="DI13" s="61">
        <f t="shared" ref="DI13:DI59" si="94">(-1.5+6.51)/(1+EXP(0.94-5.3*SIN(RADIANS($G13))))</f>
        <v>1.6018257472049382</v>
      </c>
      <c r="DJ13" s="62">
        <f t="shared" ref="DJ13:DJ59" si="95">2.67*$P13+84.69*DI13</f>
        <v>375.95862253078622</v>
      </c>
      <c r="DK13" s="62">
        <f t="shared" ref="DK13:DK59" si="96">DJ13*$Q13</f>
        <v>293683.83757614897</v>
      </c>
      <c r="DL13" s="58">
        <f t="shared" ref="DL13:DL59" si="97">DK13*(100*100)</f>
        <v>2936838375.7614899</v>
      </c>
      <c r="DM13" s="61">
        <f t="shared" ref="DM13:DM59" si="98">DL13/(1000*1000*1000)</f>
        <v>2.9368383757614898</v>
      </c>
      <c r="DN13" s="58">
        <f t="shared" ref="DN13:DN59" si="99">0.5</f>
        <v>0.5</v>
      </c>
      <c r="DO13" s="58">
        <f t="shared" ref="DO13:DO59" si="100">11.74</f>
        <v>11.74</v>
      </c>
      <c r="DP13" s="58">
        <f t="shared" ref="DP13:DP59" si="101">336/1000</f>
        <v>0.33600000000000002</v>
      </c>
      <c r="DQ13" s="61">
        <f t="shared" ref="DQ13:DQ59" si="102">(($DH13)*($R13-DO13)*DN13/1000)</f>
        <v>0.57287440863819006</v>
      </c>
      <c r="DR13" s="62">
        <f t="shared" ref="DR13:DR59" si="103">IF(DQ13-($C13*DP13/5)&gt;0,DQ13-($C13*DP13/5),0)</f>
        <v>0</v>
      </c>
      <c r="DS13" s="62">
        <f t="shared" ref="DS13:DS59" si="104">IF((DU13-$C13)/DU13*DQ13&gt;0,(DU13-$C13)/DU13*DQ13,0)</f>
        <v>0</v>
      </c>
      <c r="DT13" s="62">
        <f t="shared" ref="DT13:DT59" si="105">5*DQ13/DP13</f>
        <v>8.5249167952111602</v>
      </c>
      <c r="DU13" s="62">
        <f t="shared" ref="DU13:DU59" si="106">DT13*3</f>
        <v>25.574750385633479</v>
      </c>
      <c r="DV13" s="58">
        <f t="shared" ref="DV13:DV59" si="107">IFERROR(IF(DY13&lt;DZ13,0,1),"")</f>
        <v>0</v>
      </c>
      <c r="DW13" s="58">
        <f t="shared" ref="DW13:DW59" si="108">$N13</f>
        <v>1</v>
      </c>
      <c r="DX13" s="63">
        <f t="shared" ref="DX13:DX59" si="109">$O13</f>
        <v>13</v>
      </c>
      <c r="DY13" s="58">
        <f t="shared" ref="DY13:DY59" si="110">$DH13</f>
        <v>59.798999999999999</v>
      </c>
      <c r="DZ13" s="58">
        <f t="shared" ref="DZ13:DZ59" si="111">IFERROR(70/SIN(RADIANS(DX13)),"")</f>
        <v>311.17880378100608</v>
      </c>
      <c r="EA13" s="58">
        <f t="shared" ref="EA13:EA59" si="112">IF(DW13=1,DS13,DR13)</f>
        <v>0</v>
      </c>
      <c r="EB13" s="64">
        <f t="shared" ref="EB13:EB59" si="113">DY13/(100*100)</f>
        <v>5.9798999999999998E-3</v>
      </c>
      <c r="EC13" s="63">
        <f t="shared" ref="EC13:EC59" si="114">EB13*DM13</f>
        <v>1.7561999803216131E-2</v>
      </c>
      <c r="ED13" s="58">
        <f t="shared" ref="ED13:ED59" si="115">EC13*1000*1000</f>
        <v>17561.999803216131</v>
      </c>
      <c r="EE13" s="62">
        <f t="shared" ref="EE13:EE59" si="116">ED13/(DQ13*1000)</f>
        <v>30.655933549141576</v>
      </c>
      <c r="EF13" s="65">
        <f t="shared" ref="EF13:EF59" si="117">$C13/DU13*100</f>
        <v>239.81618227035847</v>
      </c>
      <c r="EG13" s="65">
        <f t="shared" ref="EG13:EG59" si="118">($C13/DT13)*100</f>
        <v>719.44854681107552</v>
      </c>
      <c r="EH13" s="62">
        <f t="shared" ref="EH13:EH59" si="119">EE13*EXP(-0.0156*EF13)</f>
        <v>0.72738002381029199</v>
      </c>
      <c r="EI13" s="62">
        <f t="shared" ref="EI13:EI59" si="120">EE13*EXP(-0.0156*EG13)</f>
        <v>4.0950104773767839E-4</v>
      </c>
      <c r="EJ13" s="62">
        <f t="shared" ref="EJ13:EJ59" si="121">IF(DW13=1,EH13*DS13,EI13*DR13)</f>
        <v>0</v>
      </c>
      <c r="EK13" s="62">
        <f t="shared" ref="EK13:EK59" si="122">IF(($C13-DT13)&gt;0,($C13-DT13),0)</f>
        <v>52.807473204788835</v>
      </c>
      <c r="EL13" s="62">
        <f t="shared" ref="EL13:EL59" si="123">IF(($C13-DU13)&gt;0,($C13-DU13),0)</f>
        <v>35.757639614366518</v>
      </c>
    </row>
    <row r="14" spans="1:142" x14ac:dyDescent="0.4">
      <c r="A14" s="21">
        <v>98</v>
      </c>
      <c r="B14" s="21" t="s">
        <v>94</v>
      </c>
      <c r="C14" s="21">
        <v>103.495987</v>
      </c>
      <c r="D14" s="21">
        <v>620124.19999999995</v>
      </c>
      <c r="E14" s="21">
        <v>6082077.4000000004</v>
      </c>
      <c r="F14" s="21">
        <v>830.6</v>
      </c>
      <c r="G14" s="21">
        <v>8</v>
      </c>
      <c r="H14" s="21">
        <v>0</v>
      </c>
      <c r="I14" s="21">
        <v>48.57</v>
      </c>
      <c r="J14" s="21">
        <v>0</v>
      </c>
      <c r="K14" s="21">
        <v>100</v>
      </c>
      <c r="L14" s="21">
        <v>3.8</v>
      </c>
      <c r="M14" s="21">
        <v>100</v>
      </c>
      <c r="N14" s="21">
        <v>0</v>
      </c>
      <c r="O14" s="35">
        <v>7</v>
      </c>
      <c r="P14" s="21">
        <v>90</v>
      </c>
      <c r="Q14" s="4">
        <v>781.16</v>
      </c>
      <c r="R14" s="4">
        <v>30.899999619999999</v>
      </c>
      <c r="S14" s="89">
        <f t="shared" si="0"/>
        <v>46.141500000000001</v>
      </c>
      <c r="T14" s="90">
        <f t="shared" si="1"/>
        <v>2.2523775068692409</v>
      </c>
      <c r="U14" s="91">
        <f t="shared" si="2"/>
        <v>431.053851056756</v>
      </c>
      <c r="V14" s="91">
        <f t="shared" si="3"/>
        <v>336722.02629149548</v>
      </c>
      <c r="W14" s="87">
        <f t="shared" si="4"/>
        <v>3367220262.9149547</v>
      </c>
      <c r="X14" s="90">
        <f t="shared" si="5"/>
        <v>3.3672202629149548</v>
      </c>
      <c r="Y14" s="87">
        <f t="shared" si="6"/>
        <v>0.5</v>
      </c>
      <c r="Z14" s="87">
        <f t="shared" si="7"/>
        <v>11.74</v>
      </c>
      <c r="AA14" s="87">
        <f t="shared" si="8"/>
        <v>0.33600000000000002</v>
      </c>
      <c r="AB14" s="90">
        <f t="shared" si="9"/>
        <v>0.44203556123311499</v>
      </c>
      <c r="AC14" s="91">
        <f t="shared" si="10"/>
        <v>0</v>
      </c>
      <c r="AD14" s="91">
        <f t="shared" si="11"/>
        <v>0</v>
      </c>
      <c r="AE14" s="91">
        <f t="shared" si="12"/>
        <v>6.5779101373975442</v>
      </c>
      <c r="AF14" s="91">
        <f t="shared" si="13"/>
        <v>19.733730412192632</v>
      </c>
      <c r="AG14" s="87">
        <f t="shared" si="14"/>
        <v>0</v>
      </c>
      <c r="AH14" s="87">
        <f t="shared" si="15"/>
        <v>0</v>
      </c>
      <c r="AI14" s="92">
        <f t="shared" si="16"/>
        <v>7</v>
      </c>
      <c r="AJ14" s="87">
        <f t="shared" si="17"/>
        <v>46.141500000000001</v>
      </c>
      <c r="AK14" s="87">
        <f t="shared" si="18"/>
        <v>574.38563336875552</v>
      </c>
      <c r="AL14" s="87">
        <f t="shared" si="19"/>
        <v>0</v>
      </c>
      <c r="AM14" s="87">
        <f t="shared" si="20"/>
        <v>4.61415E-3</v>
      </c>
      <c r="AN14" s="92">
        <f t="shared" si="21"/>
        <v>1.5536859376129039E-2</v>
      </c>
      <c r="AO14" s="87">
        <f t="shared" si="22"/>
        <v>15536.859376129039</v>
      </c>
      <c r="AP14" s="91">
        <f t="shared" si="23"/>
        <v>35.148437679509257</v>
      </c>
      <c r="AQ14" s="93">
        <f t="shared" si="24"/>
        <v>524.46235373750847</v>
      </c>
      <c r="AR14" s="93">
        <f t="shared" si="25"/>
        <v>1573.3870612125252</v>
      </c>
      <c r="AS14" s="91">
        <f t="shared" si="26"/>
        <v>9.8327901159475858E-3</v>
      </c>
      <c r="AT14" s="91">
        <f t="shared" si="27"/>
        <v>7.6951706597783388E-10</v>
      </c>
      <c r="AU14" s="91">
        <f t="shared" si="28"/>
        <v>0</v>
      </c>
      <c r="AV14" s="91">
        <f t="shared" si="29"/>
        <v>96.918076862602462</v>
      </c>
      <c r="AW14" s="91">
        <f t="shared" si="30"/>
        <v>83.762256587807371</v>
      </c>
      <c r="AX14" s="95">
        <f t="shared" si="31"/>
        <v>92.283000000000001</v>
      </c>
      <c r="AY14" s="90">
        <f t="shared" si="32"/>
        <v>2.2523775068692409</v>
      </c>
      <c r="AZ14" s="91">
        <f t="shared" si="33"/>
        <v>431.053851056756</v>
      </c>
      <c r="BA14" s="91">
        <f t="shared" si="34"/>
        <v>336722.02629149548</v>
      </c>
      <c r="BB14" s="87">
        <f t="shared" si="35"/>
        <v>3367220262.9149547</v>
      </c>
      <c r="BC14" s="90">
        <f t="shared" si="36"/>
        <v>3.3672202629149548</v>
      </c>
      <c r="BD14" s="87">
        <f t="shared" si="37"/>
        <v>0.5</v>
      </c>
      <c r="BE14" s="87">
        <f t="shared" si="38"/>
        <v>11.74</v>
      </c>
      <c r="BF14" s="87">
        <f t="shared" si="39"/>
        <v>0.33600000000000002</v>
      </c>
      <c r="BG14" s="90">
        <f t="shared" si="40"/>
        <v>0.88407112246622999</v>
      </c>
      <c r="BH14" s="91">
        <f t="shared" si="41"/>
        <v>0</v>
      </c>
      <c r="BI14" s="91">
        <f t="shared" si="42"/>
        <v>0</v>
      </c>
      <c r="BJ14" s="91">
        <f t="shared" si="43"/>
        <v>13.155820274795088</v>
      </c>
      <c r="BK14" s="91">
        <f t="shared" si="44"/>
        <v>39.467460824385263</v>
      </c>
      <c r="BL14" s="87">
        <f t="shared" si="45"/>
        <v>0</v>
      </c>
      <c r="BM14" s="87">
        <f t="shared" si="46"/>
        <v>0</v>
      </c>
      <c r="BN14" s="92">
        <f t="shared" si="47"/>
        <v>7</v>
      </c>
      <c r="BO14" s="87">
        <f t="shared" si="48"/>
        <v>92.283000000000001</v>
      </c>
      <c r="BP14" s="87">
        <f t="shared" si="49"/>
        <v>574.38563336875552</v>
      </c>
      <c r="BQ14" s="87">
        <f t="shared" si="50"/>
        <v>0</v>
      </c>
      <c r="BR14" s="87">
        <f t="shared" si="51"/>
        <v>9.2283E-3</v>
      </c>
      <c r="BS14" s="92">
        <f t="shared" si="52"/>
        <v>3.1073718752258079E-2</v>
      </c>
      <c r="BT14" s="87">
        <f t="shared" si="53"/>
        <v>31073.718752258079</v>
      </c>
      <c r="BU14" s="91">
        <f t="shared" si="54"/>
        <v>35.148437679509257</v>
      </c>
      <c r="BV14" s="93">
        <f t="shared" si="55"/>
        <v>262.23117686875423</v>
      </c>
      <c r="BW14" s="93">
        <f t="shared" si="56"/>
        <v>786.69353060626258</v>
      </c>
      <c r="BX14" s="91">
        <f t="shared" si="57"/>
        <v>0.58788367098098449</v>
      </c>
      <c r="BY14" s="91">
        <f t="shared" si="58"/>
        <v>1.6446070240893628E-4</v>
      </c>
      <c r="BZ14" s="91">
        <f t="shared" si="59"/>
        <v>0</v>
      </c>
      <c r="CA14" s="91">
        <f t="shared" si="60"/>
        <v>90.340166725204909</v>
      </c>
      <c r="CB14" s="91">
        <f t="shared" si="61"/>
        <v>64.028526175614729</v>
      </c>
      <c r="CC14" s="95">
        <f t="shared" si="62"/>
        <v>138.42449999999999</v>
      </c>
      <c r="CD14" s="90">
        <f t="shared" si="63"/>
        <v>2.2523775068692409</v>
      </c>
      <c r="CE14" s="91">
        <f t="shared" si="64"/>
        <v>431.053851056756</v>
      </c>
      <c r="CF14" s="91">
        <f t="shared" si="65"/>
        <v>336722.02629149548</v>
      </c>
      <c r="CG14" s="87">
        <f t="shared" si="66"/>
        <v>3367220262.9149547</v>
      </c>
      <c r="CH14" s="90">
        <f t="shared" si="67"/>
        <v>3.3672202629149548</v>
      </c>
      <c r="CI14" s="87">
        <f t="shared" si="68"/>
        <v>0.5</v>
      </c>
      <c r="CJ14" s="87">
        <f t="shared" si="69"/>
        <v>11.74</v>
      </c>
      <c r="CK14" s="87">
        <f t="shared" si="70"/>
        <v>0.33600000000000002</v>
      </c>
      <c r="CL14" s="90">
        <f t="shared" si="71"/>
        <v>1.3261066836993449</v>
      </c>
      <c r="CM14" s="91">
        <f t="shared" si="72"/>
        <v>0</v>
      </c>
      <c r="CN14" s="91">
        <f t="shared" si="73"/>
        <v>0</v>
      </c>
      <c r="CO14" s="91">
        <f t="shared" si="74"/>
        <v>19.733730412192632</v>
      </c>
      <c r="CP14" s="91">
        <f t="shared" si="75"/>
        <v>59.201191236577898</v>
      </c>
      <c r="CQ14" s="87">
        <f t="shared" si="76"/>
        <v>0</v>
      </c>
      <c r="CR14" s="87">
        <f t="shared" si="77"/>
        <v>0</v>
      </c>
      <c r="CS14" s="92">
        <f t="shared" si="78"/>
        <v>7</v>
      </c>
      <c r="CT14" s="87">
        <f t="shared" si="79"/>
        <v>138.42449999999999</v>
      </c>
      <c r="CU14" s="87">
        <f t="shared" si="80"/>
        <v>574.38563336875552</v>
      </c>
      <c r="CV14" s="87">
        <f t="shared" si="81"/>
        <v>0</v>
      </c>
      <c r="CW14" s="87">
        <f t="shared" si="82"/>
        <v>1.3842449999999999E-2</v>
      </c>
      <c r="CX14" s="92">
        <f t="shared" si="83"/>
        <v>4.6610578128387113E-2</v>
      </c>
      <c r="CY14" s="87">
        <f t="shared" si="84"/>
        <v>46610.578128387111</v>
      </c>
      <c r="CZ14" s="91">
        <f t="shared" si="85"/>
        <v>35.14843767950925</v>
      </c>
      <c r="DA14" s="93">
        <f t="shared" si="86"/>
        <v>174.82078457916947</v>
      </c>
      <c r="DB14" s="93">
        <f t="shared" si="87"/>
        <v>524.46235373750847</v>
      </c>
      <c r="DC14" s="91">
        <f t="shared" si="88"/>
        <v>2.2987739844948258</v>
      </c>
      <c r="DD14" s="91">
        <f t="shared" si="89"/>
        <v>9.8327901159475841E-3</v>
      </c>
      <c r="DE14" s="91">
        <f t="shared" si="90"/>
        <v>0</v>
      </c>
      <c r="DF14" s="91">
        <f t="shared" si="91"/>
        <v>83.762256587807371</v>
      </c>
      <c r="DG14" s="91">
        <f t="shared" si="92"/>
        <v>44.294795763422101</v>
      </c>
      <c r="DH14" s="95">
        <f t="shared" si="93"/>
        <v>184.566</v>
      </c>
      <c r="DI14" s="90">
        <f t="shared" si="94"/>
        <v>2.2523775068692409</v>
      </c>
      <c r="DJ14" s="91">
        <f t="shared" si="95"/>
        <v>431.053851056756</v>
      </c>
      <c r="DK14" s="91">
        <f t="shared" si="96"/>
        <v>336722.02629149548</v>
      </c>
      <c r="DL14" s="87">
        <f t="shared" si="97"/>
        <v>3367220262.9149547</v>
      </c>
      <c r="DM14" s="90">
        <f t="shared" si="98"/>
        <v>3.3672202629149548</v>
      </c>
      <c r="DN14" s="87">
        <f t="shared" si="99"/>
        <v>0.5</v>
      </c>
      <c r="DO14" s="87">
        <f t="shared" si="100"/>
        <v>11.74</v>
      </c>
      <c r="DP14" s="87">
        <f t="shared" si="101"/>
        <v>0.33600000000000002</v>
      </c>
      <c r="DQ14" s="90">
        <f t="shared" si="102"/>
        <v>1.76814224493246</v>
      </c>
      <c r="DR14" s="91">
        <f t="shared" si="103"/>
        <v>0</v>
      </c>
      <c r="DS14" s="91">
        <f t="shared" si="104"/>
        <v>0</v>
      </c>
      <c r="DT14" s="91">
        <f t="shared" si="105"/>
        <v>26.311640549590177</v>
      </c>
      <c r="DU14" s="91">
        <f t="shared" si="106"/>
        <v>78.934921648770526</v>
      </c>
      <c r="DV14" s="87">
        <f t="shared" si="107"/>
        <v>0</v>
      </c>
      <c r="DW14" s="87">
        <f t="shared" si="108"/>
        <v>0</v>
      </c>
      <c r="DX14" s="92">
        <f t="shared" si="109"/>
        <v>7</v>
      </c>
      <c r="DY14" s="87">
        <f t="shared" si="110"/>
        <v>184.566</v>
      </c>
      <c r="DZ14" s="87">
        <f t="shared" si="111"/>
        <v>574.38563336875552</v>
      </c>
      <c r="EA14" s="87">
        <f t="shared" si="112"/>
        <v>0</v>
      </c>
      <c r="EB14" s="87">
        <f t="shared" si="113"/>
        <v>1.84566E-2</v>
      </c>
      <c r="EC14" s="92">
        <f t="shared" si="114"/>
        <v>6.2147437504516158E-2</v>
      </c>
      <c r="ED14" s="87">
        <f t="shared" si="115"/>
        <v>62147.437504516158</v>
      </c>
      <c r="EE14" s="91">
        <f t="shared" si="116"/>
        <v>35.148437679509257</v>
      </c>
      <c r="EF14" s="93">
        <f t="shared" si="117"/>
        <v>131.11558843437712</v>
      </c>
      <c r="EG14" s="93">
        <f t="shared" si="118"/>
        <v>393.34676530313129</v>
      </c>
      <c r="EH14" s="91">
        <f t="shared" si="119"/>
        <v>4.5456784501629954</v>
      </c>
      <c r="EI14" s="91">
        <f t="shared" si="120"/>
        <v>7.602984117666442E-2</v>
      </c>
      <c r="EJ14" s="91">
        <f t="shared" si="121"/>
        <v>0</v>
      </c>
      <c r="EK14" s="91">
        <f t="shared" si="122"/>
        <v>77.184346450409819</v>
      </c>
      <c r="EL14" s="91">
        <f t="shared" si="123"/>
        <v>24.561065351229473</v>
      </c>
    </row>
    <row r="15" spans="1:142" x14ac:dyDescent="0.4">
      <c r="A15" s="21">
        <v>56</v>
      </c>
      <c r="B15" s="21" t="s">
        <v>94</v>
      </c>
      <c r="C15" s="21">
        <v>29.886575000000001</v>
      </c>
      <c r="D15" s="21">
        <v>619330</v>
      </c>
      <c r="E15" s="21">
        <v>6081096.7999999998</v>
      </c>
      <c r="F15" s="21">
        <v>720.4</v>
      </c>
      <c r="G15" s="21">
        <v>11</v>
      </c>
      <c r="H15" s="21">
        <v>0</v>
      </c>
      <c r="I15" s="21">
        <v>31.4</v>
      </c>
      <c r="J15" s="21">
        <v>0</v>
      </c>
      <c r="K15" s="21">
        <v>100</v>
      </c>
      <c r="L15" s="21">
        <v>3.2</v>
      </c>
      <c r="M15" s="21">
        <v>100</v>
      </c>
      <c r="N15" s="21">
        <v>1</v>
      </c>
      <c r="O15" s="35">
        <v>11</v>
      </c>
      <c r="P15" s="21">
        <v>90</v>
      </c>
      <c r="Q15" s="4">
        <v>781.16</v>
      </c>
      <c r="R15" s="4">
        <v>30.899999619999999</v>
      </c>
      <c r="S15" s="89">
        <f t="shared" si="0"/>
        <v>25.12</v>
      </c>
      <c r="T15" s="90">
        <f t="shared" si="1"/>
        <v>2.5942500198766076</v>
      </c>
      <c r="U15" s="91">
        <f t="shared" si="2"/>
        <v>460.0070341833499</v>
      </c>
      <c r="V15" s="91">
        <f t="shared" si="3"/>
        <v>359339.09482266562</v>
      </c>
      <c r="W15" s="87">
        <f t="shared" si="4"/>
        <v>3593390948.226656</v>
      </c>
      <c r="X15" s="90">
        <f t="shared" si="5"/>
        <v>3.5933909482266562</v>
      </c>
      <c r="Y15" s="87">
        <f t="shared" si="6"/>
        <v>0.5</v>
      </c>
      <c r="Z15" s="87">
        <f t="shared" si="7"/>
        <v>11.74</v>
      </c>
      <c r="AA15" s="87">
        <f t="shared" si="8"/>
        <v>0.33600000000000002</v>
      </c>
      <c r="AB15" s="90">
        <f t="shared" si="9"/>
        <v>0.24064959522720003</v>
      </c>
      <c r="AC15" s="91">
        <f t="shared" si="10"/>
        <v>0</v>
      </c>
      <c r="AD15" s="91">
        <f t="shared" si="11"/>
        <v>0</v>
      </c>
      <c r="AE15" s="91">
        <f t="shared" si="12"/>
        <v>3.5810951670714291</v>
      </c>
      <c r="AF15" s="91">
        <f t="shared" si="13"/>
        <v>10.743285501214288</v>
      </c>
      <c r="AG15" s="87">
        <f t="shared" si="14"/>
        <v>0</v>
      </c>
      <c r="AH15" s="87">
        <f t="shared" si="15"/>
        <v>1</v>
      </c>
      <c r="AI15" s="92">
        <f t="shared" si="16"/>
        <v>11</v>
      </c>
      <c r="AJ15" s="87">
        <f t="shared" si="17"/>
        <v>25.12</v>
      </c>
      <c r="AK15" s="87">
        <f t="shared" si="18"/>
        <v>366.85901449174941</v>
      </c>
      <c r="AL15" s="87">
        <f t="shared" si="19"/>
        <v>0</v>
      </c>
      <c r="AM15" s="87">
        <f t="shared" si="20"/>
        <v>2.5119999999999999E-3</v>
      </c>
      <c r="AN15" s="92">
        <f t="shared" si="21"/>
        <v>9.0265980619453606E-3</v>
      </c>
      <c r="AO15" s="87">
        <f t="shared" si="22"/>
        <v>9026.5980619453603</v>
      </c>
      <c r="AP15" s="91">
        <f t="shared" si="23"/>
        <v>37.509300829794647</v>
      </c>
      <c r="AQ15" s="93">
        <f t="shared" si="24"/>
        <v>278.18840890546932</v>
      </c>
      <c r="AR15" s="93">
        <f t="shared" si="25"/>
        <v>834.56522671640801</v>
      </c>
      <c r="AS15" s="91">
        <f t="shared" si="26"/>
        <v>0.48911861396604372</v>
      </c>
      <c r="AT15" s="91">
        <f t="shared" si="27"/>
        <v>8.3169604083425767E-5</v>
      </c>
      <c r="AU15" s="91">
        <f t="shared" si="28"/>
        <v>0</v>
      </c>
      <c r="AV15" s="91">
        <f t="shared" si="29"/>
        <v>26.305479832928572</v>
      </c>
      <c r="AW15" s="91">
        <f t="shared" si="30"/>
        <v>19.143289498785713</v>
      </c>
      <c r="AX15" s="95">
        <f t="shared" si="31"/>
        <v>50.24</v>
      </c>
      <c r="AY15" s="90">
        <f t="shared" si="32"/>
        <v>2.5942500198766076</v>
      </c>
      <c r="AZ15" s="91">
        <f t="shared" si="33"/>
        <v>460.0070341833499</v>
      </c>
      <c r="BA15" s="91">
        <f t="shared" si="34"/>
        <v>359339.09482266562</v>
      </c>
      <c r="BB15" s="87">
        <f t="shared" si="35"/>
        <v>3593390948.226656</v>
      </c>
      <c r="BC15" s="90">
        <f t="shared" si="36"/>
        <v>3.5933909482266562</v>
      </c>
      <c r="BD15" s="87">
        <f t="shared" si="37"/>
        <v>0.5</v>
      </c>
      <c r="BE15" s="87">
        <f t="shared" si="38"/>
        <v>11.74</v>
      </c>
      <c r="BF15" s="87">
        <f t="shared" si="39"/>
        <v>0.33600000000000002</v>
      </c>
      <c r="BG15" s="90">
        <f t="shared" si="40"/>
        <v>0.48129919045440006</v>
      </c>
      <c r="BH15" s="91">
        <f t="shared" si="41"/>
        <v>0</v>
      </c>
      <c r="BI15" s="91">
        <f t="shared" si="42"/>
        <v>0</v>
      </c>
      <c r="BJ15" s="91">
        <f t="shared" si="43"/>
        <v>7.1621903341428581</v>
      </c>
      <c r="BK15" s="91">
        <f t="shared" si="44"/>
        <v>21.486571002428576</v>
      </c>
      <c r="BL15" s="87">
        <f t="shared" si="45"/>
        <v>0</v>
      </c>
      <c r="BM15" s="87">
        <f t="shared" si="46"/>
        <v>1</v>
      </c>
      <c r="BN15" s="92">
        <f t="shared" si="47"/>
        <v>11</v>
      </c>
      <c r="BO15" s="87">
        <f t="shared" si="48"/>
        <v>50.24</v>
      </c>
      <c r="BP15" s="87">
        <f t="shared" si="49"/>
        <v>366.85901449174941</v>
      </c>
      <c r="BQ15" s="87">
        <f t="shared" si="50"/>
        <v>0</v>
      </c>
      <c r="BR15" s="87">
        <f t="shared" si="51"/>
        <v>5.0239999999999998E-3</v>
      </c>
      <c r="BS15" s="92">
        <f t="shared" si="52"/>
        <v>1.8053196123890721E-2</v>
      </c>
      <c r="BT15" s="87">
        <f t="shared" si="53"/>
        <v>18053.196123890721</v>
      </c>
      <c r="BU15" s="91">
        <f t="shared" si="54"/>
        <v>37.509300829794647</v>
      </c>
      <c r="BV15" s="93">
        <f t="shared" si="55"/>
        <v>139.09420445273466</v>
      </c>
      <c r="BW15" s="93">
        <f t="shared" si="56"/>
        <v>417.282613358204</v>
      </c>
      <c r="BX15" s="91">
        <f t="shared" si="57"/>
        <v>4.2832811293101614</v>
      </c>
      <c r="BY15" s="91">
        <f t="shared" si="58"/>
        <v>5.5853681163018559E-2</v>
      </c>
      <c r="BZ15" s="91">
        <f t="shared" si="59"/>
        <v>0</v>
      </c>
      <c r="CA15" s="91">
        <f t="shared" si="60"/>
        <v>22.724384665857144</v>
      </c>
      <c r="CB15" s="91">
        <f t="shared" si="61"/>
        <v>8.4000039975714245</v>
      </c>
      <c r="CC15" s="95">
        <f t="shared" si="62"/>
        <v>75.36</v>
      </c>
      <c r="CD15" s="90">
        <f t="shared" si="63"/>
        <v>2.5942500198766076</v>
      </c>
      <c r="CE15" s="91">
        <f t="shared" si="64"/>
        <v>460.0070341833499</v>
      </c>
      <c r="CF15" s="91">
        <f t="shared" si="65"/>
        <v>359339.09482266562</v>
      </c>
      <c r="CG15" s="87">
        <f t="shared" si="66"/>
        <v>3593390948.226656</v>
      </c>
      <c r="CH15" s="90">
        <f t="shared" si="67"/>
        <v>3.5933909482266562</v>
      </c>
      <c r="CI15" s="87">
        <f t="shared" si="68"/>
        <v>0.5</v>
      </c>
      <c r="CJ15" s="87">
        <f t="shared" si="69"/>
        <v>11.74</v>
      </c>
      <c r="CK15" s="87">
        <f t="shared" si="70"/>
        <v>0.33600000000000002</v>
      </c>
      <c r="CL15" s="90">
        <f t="shared" si="71"/>
        <v>0.72194878568160004</v>
      </c>
      <c r="CM15" s="91">
        <f t="shared" si="72"/>
        <v>0</v>
      </c>
      <c r="CN15" s="91">
        <f t="shared" si="73"/>
        <v>5.2489505681599984E-2</v>
      </c>
      <c r="CO15" s="91">
        <f t="shared" si="74"/>
        <v>10.743285501214286</v>
      </c>
      <c r="CP15" s="91">
        <f t="shared" si="75"/>
        <v>32.229856503642857</v>
      </c>
      <c r="CQ15" s="87">
        <f t="shared" si="76"/>
        <v>0</v>
      </c>
      <c r="CR15" s="87">
        <f t="shared" si="77"/>
        <v>1</v>
      </c>
      <c r="CS15" s="92">
        <f t="shared" si="78"/>
        <v>11</v>
      </c>
      <c r="CT15" s="87">
        <f t="shared" si="79"/>
        <v>75.36</v>
      </c>
      <c r="CU15" s="87">
        <f t="shared" si="80"/>
        <v>366.85901449174941</v>
      </c>
      <c r="CV15" s="87">
        <f t="shared" si="81"/>
        <v>5.2489505681599984E-2</v>
      </c>
      <c r="CW15" s="87">
        <f t="shared" si="82"/>
        <v>7.5360000000000002E-3</v>
      </c>
      <c r="CX15" s="92">
        <f t="shared" si="83"/>
        <v>2.707979418583608E-2</v>
      </c>
      <c r="CY15" s="87">
        <f t="shared" si="84"/>
        <v>27079.794185836079</v>
      </c>
      <c r="CZ15" s="91">
        <f t="shared" si="85"/>
        <v>37.509300829794647</v>
      </c>
      <c r="DA15" s="93">
        <f t="shared" si="86"/>
        <v>92.729469635156462</v>
      </c>
      <c r="DB15" s="93">
        <f t="shared" si="87"/>
        <v>278.18840890546937</v>
      </c>
      <c r="DC15" s="91">
        <f t="shared" si="88"/>
        <v>8.8287125335341656</v>
      </c>
      <c r="DD15" s="91">
        <f t="shared" si="89"/>
        <v>0.48911861396604328</v>
      </c>
      <c r="DE15" s="91">
        <f t="shared" si="90"/>
        <v>0.46341475669015458</v>
      </c>
      <c r="DF15" s="91">
        <f t="shared" si="91"/>
        <v>19.143289498785713</v>
      </c>
      <c r="DG15" s="91">
        <f t="shared" si="92"/>
        <v>0</v>
      </c>
      <c r="DH15" s="95">
        <f t="shared" si="93"/>
        <v>100.48</v>
      </c>
      <c r="DI15" s="90">
        <f t="shared" si="94"/>
        <v>2.5942500198766076</v>
      </c>
      <c r="DJ15" s="91">
        <f t="shared" si="95"/>
        <v>460.0070341833499</v>
      </c>
      <c r="DK15" s="91">
        <f t="shared" si="96"/>
        <v>359339.09482266562</v>
      </c>
      <c r="DL15" s="87">
        <f t="shared" si="97"/>
        <v>3593390948.226656</v>
      </c>
      <c r="DM15" s="90">
        <f t="shared" si="98"/>
        <v>3.5933909482266562</v>
      </c>
      <c r="DN15" s="87">
        <f t="shared" si="99"/>
        <v>0.5</v>
      </c>
      <c r="DO15" s="87">
        <f t="shared" si="100"/>
        <v>11.74</v>
      </c>
      <c r="DP15" s="87">
        <f t="shared" si="101"/>
        <v>0.33600000000000002</v>
      </c>
      <c r="DQ15" s="90">
        <f t="shared" si="102"/>
        <v>0.96259838090880012</v>
      </c>
      <c r="DR15" s="91">
        <f t="shared" si="103"/>
        <v>0</v>
      </c>
      <c r="DS15" s="91">
        <f t="shared" si="104"/>
        <v>0.29313910090880019</v>
      </c>
      <c r="DT15" s="91">
        <f t="shared" si="105"/>
        <v>14.324380668285716</v>
      </c>
      <c r="DU15" s="91">
        <f t="shared" si="106"/>
        <v>42.973142004857152</v>
      </c>
      <c r="DV15" s="87">
        <f t="shared" si="107"/>
        <v>0</v>
      </c>
      <c r="DW15" s="87">
        <f t="shared" si="108"/>
        <v>1</v>
      </c>
      <c r="DX15" s="92">
        <f t="shared" si="109"/>
        <v>11</v>
      </c>
      <c r="DY15" s="87">
        <f t="shared" si="110"/>
        <v>100.48</v>
      </c>
      <c r="DZ15" s="87">
        <f t="shared" si="111"/>
        <v>366.85901449174941</v>
      </c>
      <c r="EA15" s="87">
        <f t="shared" si="112"/>
        <v>0.29313910090880019</v>
      </c>
      <c r="EB15" s="87">
        <f t="shared" si="113"/>
        <v>1.0048E-2</v>
      </c>
      <c r="EC15" s="92">
        <f t="shared" si="114"/>
        <v>3.6106392247781442E-2</v>
      </c>
      <c r="ED15" s="87">
        <f t="shared" si="115"/>
        <v>36106.392247781441</v>
      </c>
      <c r="EE15" s="91">
        <f t="shared" si="116"/>
        <v>37.509300829794647</v>
      </c>
      <c r="EF15" s="93">
        <f t="shared" si="117"/>
        <v>69.547102226367329</v>
      </c>
      <c r="EG15" s="93">
        <f t="shared" si="118"/>
        <v>208.641306679102</v>
      </c>
      <c r="EH15" s="91">
        <f t="shared" si="119"/>
        <v>12.675286206546872</v>
      </c>
      <c r="EI15" s="91">
        <f t="shared" si="120"/>
        <v>1.4474227195933804</v>
      </c>
      <c r="EJ15" s="91">
        <f t="shared" si="121"/>
        <v>3.7156220023488666</v>
      </c>
      <c r="EK15" s="91">
        <f t="shared" si="122"/>
        <v>15.562194331714284</v>
      </c>
      <c r="EL15" s="91">
        <f t="shared" si="123"/>
        <v>0</v>
      </c>
    </row>
    <row r="16" spans="1:142" x14ac:dyDescent="0.4">
      <c r="A16" s="21">
        <v>59</v>
      </c>
      <c r="B16" s="21" t="s">
        <v>94</v>
      </c>
      <c r="C16" s="21">
        <v>117.807294</v>
      </c>
      <c r="D16" s="21">
        <v>619441.4</v>
      </c>
      <c r="E16" s="21">
        <v>6081181.7999999998</v>
      </c>
      <c r="F16" s="21">
        <v>730.2</v>
      </c>
      <c r="G16" s="21">
        <v>12</v>
      </c>
      <c r="H16" s="21">
        <v>0</v>
      </c>
      <c r="I16" s="21">
        <v>77.89</v>
      </c>
      <c r="J16" s="21">
        <v>0</v>
      </c>
      <c r="K16" s="21">
        <v>100</v>
      </c>
      <c r="L16" s="21">
        <v>2.8</v>
      </c>
      <c r="M16" s="21">
        <v>100</v>
      </c>
      <c r="N16" s="21">
        <v>0</v>
      </c>
      <c r="O16" s="35">
        <v>12</v>
      </c>
      <c r="P16" s="21">
        <v>90</v>
      </c>
      <c r="Q16" s="4">
        <v>781.16</v>
      </c>
      <c r="R16" s="4">
        <v>30.899999619999999</v>
      </c>
      <c r="S16" s="89">
        <f t="shared" si="0"/>
        <v>54.522999999999996</v>
      </c>
      <c r="T16" s="90">
        <f t="shared" si="1"/>
        <v>2.7073777462862987</v>
      </c>
      <c r="U16" s="91">
        <f t="shared" si="2"/>
        <v>469.58782133298661</v>
      </c>
      <c r="V16" s="91">
        <f t="shared" si="3"/>
        <v>366823.2225124758</v>
      </c>
      <c r="W16" s="87">
        <f t="shared" si="4"/>
        <v>3668232225.1247578</v>
      </c>
      <c r="X16" s="90">
        <f t="shared" si="5"/>
        <v>3.6682322251247577</v>
      </c>
      <c r="Y16" s="87">
        <f t="shared" si="6"/>
        <v>0.5</v>
      </c>
      <c r="Z16" s="87">
        <f t="shared" si="7"/>
        <v>11.74</v>
      </c>
      <c r="AA16" s="87">
        <f t="shared" si="8"/>
        <v>0.33600000000000002</v>
      </c>
      <c r="AB16" s="90">
        <f t="shared" si="9"/>
        <v>0.52233032964062998</v>
      </c>
      <c r="AC16" s="91">
        <f t="shared" si="10"/>
        <v>0</v>
      </c>
      <c r="AD16" s="91">
        <f t="shared" si="11"/>
        <v>0</v>
      </c>
      <c r="AE16" s="91">
        <f t="shared" si="12"/>
        <v>7.7727727625093745</v>
      </c>
      <c r="AF16" s="91">
        <f t="shared" si="13"/>
        <v>23.318318287528122</v>
      </c>
      <c r="AG16" s="87">
        <f t="shared" si="14"/>
        <v>0</v>
      </c>
      <c r="AH16" s="87">
        <f t="shared" si="15"/>
        <v>0</v>
      </c>
      <c r="AI16" s="92">
        <f t="shared" si="16"/>
        <v>12</v>
      </c>
      <c r="AJ16" s="87">
        <f t="shared" si="17"/>
        <v>54.522999999999996</v>
      </c>
      <c r="AK16" s="87">
        <f t="shared" si="18"/>
        <v>336.68140413208914</v>
      </c>
      <c r="AL16" s="87">
        <f t="shared" si="19"/>
        <v>0</v>
      </c>
      <c r="AM16" s="87">
        <f t="shared" si="20"/>
        <v>5.4522999999999993E-3</v>
      </c>
      <c r="AN16" s="92">
        <f t="shared" si="21"/>
        <v>2.0000302561047713E-2</v>
      </c>
      <c r="AO16" s="87">
        <f t="shared" si="22"/>
        <v>20000.302561047716</v>
      </c>
      <c r="AP16" s="91">
        <f t="shared" si="23"/>
        <v>38.290525030028761</v>
      </c>
      <c r="AQ16" s="93">
        <f t="shared" si="24"/>
        <v>505.21350874179296</v>
      </c>
      <c r="AR16" s="93">
        <f t="shared" si="25"/>
        <v>1515.6405262253788</v>
      </c>
      <c r="AS16" s="91">
        <f t="shared" si="26"/>
        <v>1.4463482433700882E-2</v>
      </c>
      <c r="AT16" s="91">
        <f t="shared" si="27"/>
        <v>2.0636496813002607E-9</v>
      </c>
      <c r="AU16" s="91">
        <f t="shared" si="28"/>
        <v>0</v>
      </c>
      <c r="AV16" s="91">
        <f t="shared" si="29"/>
        <v>110.03452123749062</v>
      </c>
      <c r="AW16" s="91">
        <f t="shared" si="30"/>
        <v>94.48897571247187</v>
      </c>
      <c r="AX16" s="95">
        <f t="shared" si="31"/>
        <v>109.04599999999999</v>
      </c>
      <c r="AY16" s="90">
        <f t="shared" si="32"/>
        <v>2.7073777462862987</v>
      </c>
      <c r="AZ16" s="91">
        <f t="shared" si="33"/>
        <v>469.58782133298661</v>
      </c>
      <c r="BA16" s="91">
        <f t="shared" si="34"/>
        <v>366823.2225124758</v>
      </c>
      <c r="BB16" s="87">
        <f t="shared" si="35"/>
        <v>3668232225.1247578</v>
      </c>
      <c r="BC16" s="90">
        <f t="shared" si="36"/>
        <v>3.6682322251247577</v>
      </c>
      <c r="BD16" s="87">
        <f t="shared" si="37"/>
        <v>0.5</v>
      </c>
      <c r="BE16" s="87">
        <f t="shared" si="38"/>
        <v>11.74</v>
      </c>
      <c r="BF16" s="87">
        <f t="shared" si="39"/>
        <v>0.33600000000000002</v>
      </c>
      <c r="BG16" s="90">
        <f t="shared" si="40"/>
        <v>1.04466065928126</v>
      </c>
      <c r="BH16" s="91">
        <f t="shared" si="41"/>
        <v>0</v>
      </c>
      <c r="BI16" s="91">
        <f t="shared" si="42"/>
        <v>0</v>
      </c>
      <c r="BJ16" s="91">
        <f t="shared" si="43"/>
        <v>15.545545525018749</v>
      </c>
      <c r="BK16" s="91">
        <f t="shared" si="44"/>
        <v>46.636636575056244</v>
      </c>
      <c r="BL16" s="87">
        <f t="shared" si="45"/>
        <v>0</v>
      </c>
      <c r="BM16" s="87">
        <f t="shared" si="46"/>
        <v>0</v>
      </c>
      <c r="BN16" s="92">
        <f t="shared" si="47"/>
        <v>12</v>
      </c>
      <c r="BO16" s="87">
        <f t="shared" si="48"/>
        <v>109.04599999999999</v>
      </c>
      <c r="BP16" s="87">
        <f t="shared" si="49"/>
        <v>336.68140413208914</v>
      </c>
      <c r="BQ16" s="87">
        <f t="shared" si="50"/>
        <v>0</v>
      </c>
      <c r="BR16" s="87">
        <f t="shared" si="51"/>
        <v>1.0904599999999999E-2</v>
      </c>
      <c r="BS16" s="92">
        <f t="shared" si="52"/>
        <v>4.0000605122095426E-2</v>
      </c>
      <c r="BT16" s="87">
        <f t="shared" si="53"/>
        <v>40000.605122095432</v>
      </c>
      <c r="BU16" s="91">
        <f t="shared" si="54"/>
        <v>38.290525030028761</v>
      </c>
      <c r="BV16" s="93">
        <f t="shared" si="55"/>
        <v>252.60675437089648</v>
      </c>
      <c r="BW16" s="93">
        <f t="shared" si="56"/>
        <v>757.82026311268942</v>
      </c>
      <c r="BX16" s="91">
        <f t="shared" si="57"/>
        <v>0.74418703035527634</v>
      </c>
      <c r="BY16" s="91">
        <f t="shared" si="58"/>
        <v>2.8110181389496316E-4</v>
      </c>
      <c r="BZ16" s="91">
        <f t="shared" si="59"/>
        <v>0</v>
      </c>
      <c r="CA16" s="91">
        <f t="shared" si="60"/>
        <v>102.26174847498125</v>
      </c>
      <c r="CB16" s="91">
        <f t="shared" si="61"/>
        <v>71.170657424943755</v>
      </c>
      <c r="CC16" s="95">
        <f t="shared" si="62"/>
        <v>163.56899999999999</v>
      </c>
      <c r="CD16" s="90">
        <f t="shared" si="63"/>
        <v>2.7073777462862987</v>
      </c>
      <c r="CE16" s="91">
        <f t="shared" si="64"/>
        <v>469.58782133298661</v>
      </c>
      <c r="CF16" s="91">
        <f t="shared" si="65"/>
        <v>366823.2225124758</v>
      </c>
      <c r="CG16" s="87">
        <f t="shared" si="66"/>
        <v>3668232225.1247578</v>
      </c>
      <c r="CH16" s="90">
        <f t="shared" si="67"/>
        <v>3.6682322251247577</v>
      </c>
      <c r="CI16" s="87">
        <f t="shared" si="68"/>
        <v>0.5</v>
      </c>
      <c r="CJ16" s="87">
        <f t="shared" si="69"/>
        <v>11.74</v>
      </c>
      <c r="CK16" s="87">
        <f t="shared" si="70"/>
        <v>0.33600000000000002</v>
      </c>
      <c r="CL16" s="90">
        <f t="shared" si="71"/>
        <v>1.56699098892189</v>
      </c>
      <c r="CM16" s="91">
        <f t="shared" si="72"/>
        <v>0</v>
      </c>
      <c r="CN16" s="91">
        <f t="shared" si="73"/>
        <v>0</v>
      </c>
      <c r="CO16" s="91">
        <f t="shared" si="74"/>
        <v>23.318318287528122</v>
      </c>
      <c r="CP16" s="91">
        <f t="shared" si="75"/>
        <v>69.954954862584373</v>
      </c>
      <c r="CQ16" s="87">
        <f t="shared" si="76"/>
        <v>0</v>
      </c>
      <c r="CR16" s="87">
        <f t="shared" si="77"/>
        <v>0</v>
      </c>
      <c r="CS16" s="92">
        <f t="shared" si="78"/>
        <v>12</v>
      </c>
      <c r="CT16" s="87">
        <f t="shared" si="79"/>
        <v>163.56899999999999</v>
      </c>
      <c r="CU16" s="87">
        <f t="shared" si="80"/>
        <v>336.68140413208914</v>
      </c>
      <c r="CV16" s="87">
        <f t="shared" si="81"/>
        <v>0</v>
      </c>
      <c r="CW16" s="87">
        <f t="shared" si="82"/>
        <v>1.6356899999999997E-2</v>
      </c>
      <c r="CX16" s="92">
        <f t="shared" si="83"/>
        <v>6.0000907683143138E-2</v>
      </c>
      <c r="CY16" s="87">
        <f t="shared" si="84"/>
        <v>60000.907683143138</v>
      </c>
      <c r="CZ16" s="91">
        <f t="shared" si="85"/>
        <v>38.290525030028753</v>
      </c>
      <c r="DA16" s="93">
        <f t="shared" si="86"/>
        <v>168.404502913931</v>
      </c>
      <c r="DB16" s="93">
        <f t="shared" si="87"/>
        <v>505.21350874179296</v>
      </c>
      <c r="DC16" s="91">
        <f t="shared" si="88"/>
        <v>2.7679091948092971</v>
      </c>
      <c r="DD16" s="91">
        <f t="shared" si="89"/>
        <v>1.446348243370088E-2</v>
      </c>
      <c r="DE16" s="91">
        <f t="shared" si="90"/>
        <v>0</v>
      </c>
      <c r="DF16" s="91">
        <f t="shared" si="91"/>
        <v>94.48897571247187</v>
      </c>
      <c r="DG16" s="91">
        <f t="shared" si="92"/>
        <v>47.852339137415626</v>
      </c>
      <c r="DH16" s="95">
        <f t="shared" si="93"/>
        <v>218.09199999999998</v>
      </c>
      <c r="DI16" s="90">
        <f t="shared" si="94"/>
        <v>2.7073777462862987</v>
      </c>
      <c r="DJ16" s="91">
        <f t="shared" si="95"/>
        <v>469.58782133298661</v>
      </c>
      <c r="DK16" s="91">
        <f t="shared" si="96"/>
        <v>366823.2225124758</v>
      </c>
      <c r="DL16" s="87">
        <f t="shared" si="97"/>
        <v>3668232225.1247578</v>
      </c>
      <c r="DM16" s="90">
        <f t="shared" si="98"/>
        <v>3.6682322251247577</v>
      </c>
      <c r="DN16" s="87">
        <f t="shared" si="99"/>
        <v>0.5</v>
      </c>
      <c r="DO16" s="87">
        <f t="shared" si="100"/>
        <v>11.74</v>
      </c>
      <c r="DP16" s="87">
        <f t="shared" si="101"/>
        <v>0.33600000000000002</v>
      </c>
      <c r="DQ16" s="90">
        <f t="shared" si="102"/>
        <v>2.0893213185625199</v>
      </c>
      <c r="DR16" s="91">
        <f t="shared" si="103"/>
        <v>0</v>
      </c>
      <c r="DS16" s="91">
        <f t="shared" si="104"/>
        <v>0</v>
      </c>
      <c r="DT16" s="91">
        <f t="shared" si="105"/>
        <v>31.091091050037498</v>
      </c>
      <c r="DU16" s="91">
        <f t="shared" si="106"/>
        <v>93.273273150112487</v>
      </c>
      <c r="DV16" s="87">
        <f t="shared" si="107"/>
        <v>0</v>
      </c>
      <c r="DW16" s="87">
        <f t="shared" si="108"/>
        <v>0</v>
      </c>
      <c r="DX16" s="92">
        <f t="shared" si="109"/>
        <v>12</v>
      </c>
      <c r="DY16" s="87">
        <f t="shared" si="110"/>
        <v>218.09199999999998</v>
      </c>
      <c r="DZ16" s="87">
        <f t="shared" si="111"/>
        <v>336.68140413208914</v>
      </c>
      <c r="EA16" s="87">
        <f t="shared" si="112"/>
        <v>0</v>
      </c>
      <c r="EB16" s="87">
        <f t="shared" si="113"/>
        <v>2.1809199999999997E-2</v>
      </c>
      <c r="EC16" s="92">
        <f t="shared" si="114"/>
        <v>8.0001210244190851E-2</v>
      </c>
      <c r="ED16" s="87">
        <f t="shared" si="115"/>
        <v>80001.210244190865</v>
      </c>
      <c r="EE16" s="91">
        <f t="shared" si="116"/>
        <v>38.290525030028761</v>
      </c>
      <c r="EF16" s="93">
        <f t="shared" si="117"/>
        <v>126.30337718544824</v>
      </c>
      <c r="EG16" s="93">
        <f t="shared" si="118"/>
        <v>378.91013155634471</v>
      </c>
      <c r="EH16" s="91">
        <f t="shared" si="119"/>
        <v>5.3381000470992941</v>
      </c>
      <c r="EI16" s="91">
        <f t="shared" si="120"/>
        <v>0.10374746281683987</v>
      </c>
      <c r="EJ16" s="91">
        <f t="shared" si="121"/>
        <v>0</v>
      </c>
      <c r="EK16" s="91">
        <f t="shared" si="122"/>
        <v>86.716202949962508</v>
      </c>
      <c r="EL16" s="91">
        <f t="shared" si="123"/>
        <v>24.534020849887511</v>
      </c>
    </row>
    <row r="17" spans="1:142" x14ac:dyDescent="0.4">
      <c r="A17" s="21">
        <v>68</v>
      </c>
      <c r="B17" s="21" t="s">
        <v>94</v>
      </c>
      <c r="C17" s="21">
        <v>2.5927039999999999</v>
      </c>
      <c r="D17" s="21">
        <v>619688.80000000005</v>
      </c>
      <c r="E17" s="21">
        <v>6081429.2999999998</v>
      </c>
      <c r="F17" s="21">
        <v>748.3</v>
      </c>
      <c r="G17" s="21">
        <v>11</v>
      </c>
      <c r="H17" s="21">
        <v>0</v>
      </c>
      <c r="I17" s="21">
        <v>77.97</v>
      </c>
      <c r="J17" s="21">
        <v>0</v>
      </c>
      <c r="K17" s="21">
        <v>100</v>
      </c>
      <c r="L17" s="21">
        <v>2.7</v>
      </c>
      <c r="M17" s="21">
        <v>100</v>
      </c>
      <c r="N17" s="21">
        <v>1</v>
      </c>
      <c r="O17" s="35">
        <v>8</v>
      </c>
      <c r="P17" s="21">
        <v>90</v>
      </c>
      <c r="Q17" s="4">
        <v>781.16</v>
      </c>
      <c r="R17" s="4">
        <v>30.899999619999999</v>
      </c>
      <c r="S17" s="89">
        <f t="shared" si="0"/>
        <v>52.629750000000001</v>
      </c>
      <c r="T17" s="90">
        <f t="shared" si="1"/>
        <v>2.5942500198766076</v>
      </c>
      <c r="U17" s="91">
        <f t="shared" si="2"/>
        <v>460.0070341833499</v>
      </c>
      <c r="V17" s="91">
        <f t="shared" si="3"/>
        <v>359339.09482266562</v>
      </c>
      <c r="W17" s="87">
        <f t="shared" si="4"/>
        <v>3593390948.226656</v>
      </c>
      <c r="X17" s="90">
        <f t="shared" si="5"/>
        <v>3.5933909482266562</v>
      </c>
      <c r="Y17" s="87">
        <f t="shared" si="6"/>
        <v>0.5</v>
      </c>
      <c r="Z17" s="87">
        <f t="shared" si="7"/>
        <v>11.74</v>
      </c>
      <c r="AA17" s="87">
        <f t="shared" si="8"/>
        <v>0.33600000000000002</v>
      </c>
      <c r="AB17" s="90">
        <f t="shared" si="9"/>
        <v>0.50419299500034753</v>
      </c>
      <c r="AC17" s="91">
        <f t="shared" si="10"/>
        <v>0.32996328620034754</v>
      </c>
      <c r="AD17" s="91">
        <f t="shared" si="11"/>
        <v>0.44611642540034752</v>
      </c>
      <c r="AE17" s="91">
        <f t="shared" si="12"/>
        <v>7.5028719494099336</v>
      </c>
      <c r="AF17" s="91">
        <f t="shared" si="13"/>
        <v>22.508615848229802</v>
      </c>
      <c r="AG17" s="87">
        <f t="shared" si="14"/>
        <v>0</v>
      </c>
      <c r="AH17" s="87">
        <f t="shared" si="15"/>
        <v>1</v>
      </c>
      <c r="AI17" s="92">
        <f t="shared" si="16"/>
        <v>8</v>
      </c>
      <c r="AJ17" s="87">
        <f t="shared" si="17"/>
        <v>52.629750000000001</v>
      </c>
      <c r="AK17" s="87">
        <f t="shared" si="18"/>
        <v>502.97075740294036</v>
      </c>
      <c r="AL17" s="87">
        <f t="shared" si="19"/>
        <v>0.44611642540034752</v>
      </c>
      <c r="AM17" s="87">
        <f t="shared" si="20"/>
        <v>5.2629750000000005E-3</v>
      </c>
      <c r="AN17" s="92">
        <f t="shared" si="21"/>
        <v>1.8911926725743187E-2</v>
      </c>
      <c r="AO17" s="87">
        <f t="shared" si="22"/>
        <v>18911.926725743186</v>
      </c>
      <c r="AP17" s="91">
        <f t="shared" si="23"/>
        <v>37.509300829794647</v>
      </c>
      <c r="AQ17" s="93">
        <f t="shared" si="24"/>
        <v>11.518718065482041</v>
      </c>
      <c r="AR17" s="93">
        <f t="shared" si="25"/>
        <v>34.556154196446123</v>
      </c>
      <c r="AS17" s="91">
        <f t="shared" si="26"/>
        <v>31.340052826824511</v>
      </c>
      <c r="AT17" s="91">
        <f t="shared" si="27"/>
        <v>21.878685955836794</v>
      </c>
      <c r="AU17" s="91">
        <f t="shared" si="28"/>
        <v>13.981312338961008</v>
      </c>
      <c r="AV17" s="91">
        <f t="shared" si="29"/>
        <v>0</v>
      </c>
      <c r="AW17" s="91">
        <f t="shared" si="30"/>
        <v>0</v>
      </c>
      <c r="AX17" s="95">
        <f t="shared" si="31"/>
        <v>105.2595</v>
      </c>
      <c r="AY17" s="90">
        <f t="shared" si="32"/>
        <v>2.5942500198766076</v>
      </c>
      <c r="AZ17" s="91">
        <f t="shared" si="33"/>
        <v>460.0070341833499</v>
      </c>
      <c r="BA17" s="91">
        <f t="shared" si="34"/>
        <v>359339.09482266562</v>
      </c>
      <c r="BB17" s="87">
        <f t="shared" si="35"/>
        <v>3593390948.226656</v>
      </c>
      <c r="BC17" s="90">
        <f t="shared" si="36"/>
        <v>3.5933909482266562</v>
      </c>
      <c r="BD17" s="87">
        <f t="shared" si="37"/>
        <v>0.5</v>
      </c>
      <c r="BE17" s="87">
        <f t="shared" si="38"/>
        <v>11.74</v>
      </c>
      <c r="BF17" s="87">
        <f t="shared" si="39"/>
        <v>0.33600000000000002</v>
      </c>
      <c r="BG17" s="90">
        <f t="shared" si="40"/>
        <v>1.0083859900006951</v>
      </c>
      <c r="BH17" s="91">
        <f t="shared" si="41"/>
        <v>0.83415628120069507</v>
      </c>
      <c r="BI17" s="91">
        <f t="shared" si="42"/>
        <v>0.9503094204006951</v>
      </c>
      <c r="BJ17" s="91">
        <f t="shared" si="43"/>
        <v>15.005743898819867</v>
      </c>
      <c r="BK17" s="91">
        <f t="shared" si="44"/>
        <v>45.017231696459604</v>
      </c>
      <c r="BL17" s="87">
        <f t="shared" si="45"/>
        <v>0</v>
      </c>
      <c r="BM17" s="87">
        <f t="shared" si="46"/>
        <v>1</v>
      </c>
      <c r="BN17" s="92">
        <f t="shared" si="47"/>
        <v>8</v>
      </c>
      <c r="BO17" s="87">
        <f t="shared" si="48"/>
        <v>105.2595</v>
      </c>
      <c r="BP17" s="87">
        <f t="shared" si="49"/>
        <v>502.97075740294036</v>
      </c>
      <c r="BQ17" s="87">
        <f t="shared" si="50"/>
        <v>0.9503094204006951</v>
      </c>
      <c r="BR17" s="87">
        <f t="shared" si="51"/>
        <v>1.0525950000000001E-2</v>
      </c>
      <c r="BS17" s="92">
        <f t="shared" si="52"/>
        <v>3.7823853451486374E-2</v>
      </c>
      <c r="BT17" s="87">
        <f t="shared" si="53"/>
        <v>37823.853451486371</v>
      </c>
      <c r="BU17" s="91">
        <f t="shared" si="54"/>
        <v>37.509300829794647</v>
      </c>
      <c r="BV17" s="93">
        <f t="shared" si="55"/>
        <v>5.7593590327410205</v>
      </c>
      <c r="BW17" s="93">
        <f t="shared" si="56"/>
        <v>17.278077098223061</v>
      </c>
      <c r="BX17" s="91">
        <f t="shared" si="57"/>
        <v>34.286199403010777</v>
      </c>
      <c r="BY17" s="91">
        <f t="shared" si="58"/>
        <v>28.647062908404511</v>
      </c>
      <c r="BZ17" s="91">
        <f t="shared" si="59"/>
        <v>32.582498282417831</v>
      </c>
      <c r="CA17" s="91">
        <f t="shared" si="60"/>
        <v>0</v>
      </c>
      <c r="CB17" s="91">
        <f t="shared" si="61"/>
        <v>0</v>
      </c>
      <c r="CC17" s="95">
        <f t="shared" si="62"/>
        <v>157.88925</v>
      </c>
      <c r="CD17" s="90">
        <f t="shared" si="63"/>
        <v>2.5942500198766076</v>
      </c>
      <c r="CE17" s="91">
        <f t="shared" si="64"/>
        <v>460.0070341833499</v>
      </c>
      <c r="CF17" s="91">
        <f t="shared" si="65"/>
        <v>359339.09482266562</v>
      </c>
      <c r="CG17" s="87">
        <f t="shared" si="66"/>
        <v>3593390948.226656</v>
      </c>
      <c r="CH17" s="90">
        <f t="shared" si="67"/>
        <v>3.5933909482266562</v>
      </c>
      <c r="CI17" s="87">
        <f t="shared" si="68"/>
        <v>0.5</v>
      </c>
      <c r="CJ17" s="87">
        <f t="shared" si="69"/>
        <v>11.74</v>
      </c>
      <c r="CK17" s="87">
        <f t="shared" si="70"/>
        <v>0.33600000000000002</v>
      </c>
      <c r="CL17" s="90">
        <f t="shared" si="71"/>
        <v>1.5125789850010427</v>
      </c>
      <c r="CM17" s="91">
        <f t="shared" si="72"/>
        <v>1.3383492762010427</v>
      </c>
      <c r="CN17" s="91">
        <f t="shared" si="73"/>
        <v>1.4545024154010429</v>
      </c>
      <c r="CO17" s="91">
        <f t="shared" si="74"/>
        <v>22.508615848229802</v>
      </c>
      <c r="CP17" s="91">
        <f t="shared" si="75"/>
        <v>67.525847544689412</v>
      </c>
      <c r="CQ17" s="87">
        <f t="shared" si="76"/>
        <v>0</v>
      </c>
      <c r="CR17" s="87">
        <f t="shared" si="77"/>
        <v>1</v>
      </c>
      <c r="CS17" s="92">
        <f t="shared" si="78"/>
        <v>8</v>
      </c>
      <c r="CT17" s="87">
        <f t="shared" si="79"/>
        <v>157.88925</v>
      </c>
      <c r="CU17" s="87">
        <f t="shared" si="80"/>
        <v>502.97075740294036</v>
      </c>
      <c r="CV17" s="87">
        <f t="shared" si="81"/>
        <v>1.4545024154010429</v>
      </c>
      <c r="CW17" s="87">
        <f t="shared" si="82"/>
        <v>1.5788924999999999E-2</v>
      </c>
      <c r="CX17" s="92">
        <f t="shared" si="83"/>
        <v>5.673578017722955E-2</v>
      </c>
      <c r="CY17" s="87">
        <f t="shared" si="84"/>
        <v>56735.78017722955</v>
      </c>
      <c r="CZ17" s="91">
        <f t="shared" si="85"/>
        <v>37.509300829794647</v>
      </c>
      <c r="DA17" s="93">
        <f t="shared" si="86"/>
        <v>3.8395726884940133</v>
      </c>
      <c r="DB17" s="93">
        <f t="shared" si="87"/>
        <v>11.518718065482041</v>
      </c>
      <c r="DC17" s="91">
        <f t="shared" si="88"/>
        <v>35.328556058500176</v>
      </c>
      <c r="DD17" s="91">
        <f t="shared" si="89"/>
        <v>31.340052826824511</v>
      </c>
      <c r="DE17" s="91">
        <f t="shared" si="90"/>
        <v>51.385470119719649</v>
      </c>
      <c r="DF17" s="91">
        <f t="shared" si="91"/>
        <v>0</v>
      </c>
      <c r="DG17" s="91">
        <f t="shared" si="92"/>
        <v>0</v>
      </c>
      <c r="DH17" s="95">
        <f t="shared" si="93"/>
        <v>210.51900000000001</v>
      </c>
      <c r="DI17" s="90">
        <f t="shared" si="94"/>
        <v>2.5942500198766076</v>
      </c>
      <c r="DJ17" s="91">
        <f t="shared" si="95"/>
        <v>460.0070341833499</v>
      </c>
      <c r="DK17" s="91">
        <f t="shared" si="96"/>
        <v>359339.09482266562</v>
      </c>
      <c r="DL17" s="87">
        <f t="shared" si="97"/>
        <v>3593390948.226656</v>
      </c>
      <c r="DM17" s="90">
        <f t="shared" si="98"/>
        <v>3.5933909482266562</v>
      </c>
      <c r="DN17" s="87">
        <f t="shared" si="99"/>
        <v>0.5</v>
      </c>
      <c r="DO17" s="87">
        <f t="shared" si="100"/>
        <v>11.74</v>
      </c>
      <c r="DP17" s="87">
        <f t="shared" si="101"/>
        <v>0.33600000000000002</v>
      </c>
      <c r="DQ17" s="90">
        <f t="shared" si="102"/>
        <v>2.0167719800013901</v>
      </c>
      <c r="DR17" s="91">
        <f t="shared" si="103"/>
        <v>1.8425422712013901</v>
      </c>
      <c r="DS17" s="91">
        <f t="shared" si="104"/>
        <v>1.9586954104013903</v>
      </c>
      <c r="DT17" s="91">
        <f t="shared" si="105"/>
        <v>30.011487797639735</v>
      </c>
      <c r="DU17" s="91">
        <f t="shared" si="106"/>
        <v>90.034463392919207</v>
      </c>
      <c r="DV17" s="87">
        <f t="shared" si="107"/>
        <v>0</v>
      </c>
      <c r="DW17" s="87">
        <f t="shared" si="108"/>
        <v>1</v>
      </c>
      <c r="DX17" s="92">
        <f t="shared" si="109"/>
        <v>8</v>
      </c>
      <c r="DY17" s="87">
        <f t="shared" si="110"/>
        <v>210.51900000000001</v>
      </c>
      <c r="DZ17" s="87">
        <f t="shared" si="111"/>
        <v>502.97075740294036</v>
      </c>
      <c r="EA17" s="87">
        <f t="shared" si="112"/>
        <v>1.9586954104013903</v>
      </c>
      <c r="EB17" s="87">
        <f t="shared" si="113"/>
        <v>2.1051900000000002E-2</v>
      </c>
      <c r="EC17" s="92">
        <f t="shared" si="114"/>
        <v>7.5647706902972747E-2</v>
      </c>
      <c r="ED17" s="87">
        <f t="shared" si="115"/>
        <v>75647.706902972743</v>
      </c>
      <c r="EE17" s="91">
        <f t="shared" si="116"/>
        <v>37.509300829794647</v>
      </c>
      <c r="EF17" s="93">
        <f t="shared" si="117"/>
        <v>2.8796795163705102</v>
      </c>
      <c r="EG17" s="93">
        <f t="shared" si="118"/>
        <v>8.6390385491115307</v>
      </c>
      <c r="EH17" s="91">
        <f t="shared" si="119"/>
        <v>35.861558355959055</v>
      </c>
      <c r="EI17" s="91">
        <f t="shared" si="120"/>
        <v>32.780044242212313</v>
      </c>
      <c r="EJ17" s="91">
        <f t="shared" si="121"/>
        <v>70.241869761658634</v>
      </c>
      <c r="EK17" s="91">
        <f t="shared" si="122"/>
        <v>0</v>
      </c>
      <c r="EL17" s="91">
        <f t="shared" si="123"/>
        <v>0</v>
      </c>
    </row>
    <row r="18" spans="1:142" x14ac:dyDescent="0.4">
      <c r="A18" s="21">
        <v>120</v>
      </c>
      <c r="B18" s="21" t="s">
        <v>94</v>
      </c>
      <c r="C18" s="21">
        <v>34.616855000000001</v>
      </c>
      <c r="D18" s="21">
        <v>620463.1</v>
      </c>
      <c r="E18" s="21">
        <v>6082664.5</v>
      </c>
      <c r="F18" s="21">
        <v>748.3</v>
      </c>
      <c r="G18" s="21">
        <v>10</v>
      </c>
      <c r="H18" s="21">
        <v>0</v>
      </c>
      <c r="I18" s="21">
        <v>22</v>
      </c>
      <c r="J18" s="21">
        <v>0</v>
      </c>
      <c r="K18" s="21">
        <v>100</v>
      </c>
      <c r="L18" s="21">
        <v>3.5</v>
      </c>
      <c r="M18" s="21">
        <v>100</v>
      </c>
      <c r="N18" s="21">
        <v>0</v>
      </c>
      <c r="O18" s="35">
        <v>12</v>
      </c>
      <c r="P18" s="21">
        <v>90</v>
      </c>
      <c r="Q18" s="4">
        <v>781.16</v>
      </c>
      <c r="R18" s="4">
        <v>30.899999619999999</v>
      </c>
      <c r="S18" s="89">
        <f t="shared" si="0"/>
        <v>19.25</v>
      </c>
      <c r="T18" s="90">
        <f t="shared" si="1"/>
        <v>2.4803708090655769</v>
      </c>
      <c r="U18" s="91">
        <f t="shared" si="2"/>
        <v>450.36260381976365</v>
      </c>
      <c r="V18" s="91">
        <f t="shared" si="3"/>
        <v>351805.25159984658</v>
      </c>
      <c r="W18" s="87">
        <f t="shared" si="4"/>
        <v>3518052515.998466</v>
      </c>
      <c r="X18" s="90">
        <f t="shared" si="5"/>
        <v>3.5180525159984661</v>
      </c>
      <c r="Y18" s="87">
        <f t="shared" si="6"/>
        <v>0.5</v>
      </c>
      <c r="Z18" s="87">
        <f t="shared" si="7"/>
        <v>11.74</v>
      </c>
      <c r="AA18" s="87">
        <f t="shared" si="8"/>
        <v>0.33600000000000002</v>
      </c>
      <c r="AB18" s="90">
        <f t="shared" si="9"/>
        <v>0.18441499634250003</v>
      </c>
      <c r="AC18" s="91">
        <f t="shared" si="10"/>
        <v>0</v>
      </c>
      <c r="AD18" s="91">
        <f t="shared" si="11"/>
        <v>0</v>
      </c>
      <c r="AE18" s="91">
        <f t="shared" si="12"/>
        <v>2.7442707789062504</v>
      </c>
      <c r="AF18" s="91">
        <f t="shared" si="13"/>
        <v>8.2328123367187516</v>
      </c>
      <c r="AG18" s="87">
        <f t="shared" si="14"/>
        <v>0</v>
      </c>
      <c r="AH18" s="87">
        <f t="shared" si="15"/>
        <v>0</v>
      </c>
      <c r="AI18" s="92">
        <f t="shared" si="16"/>
        <v>12</v>
      </c>
      <c r="AJ18" s="87">
        <f t="shared" si="17"/>
        <v>19.25</v>
      </c>
      <c r="AK18" s="87">
        <f t="shared" si="18"/>
        <v>336.68140413208914</v>
      </c>
      <c r="AL18" s="87">
        <f t="shared" si="19"/>
        <v>0</v>
      </c>
      <c r="AM18" s="87">
        <f t="shared" si="20"/>
        <v>1.9250000000000001E-3</v>
      </c>
      <c r="AN18" s="92">
        <f t="shared" si="21"/>
        <v>6.7722510932970471E-3</v>
      </c>
      <c r="AO18" s="87">
        <f t="shared" si="22"/>
        <v>6772.2510932970472</v>
      </c>
      <c r="AP18" s="91">
        <f t="shared" si="23"/>
        <v>36.722887116617443</v>
      </c>
      <c r="AQ18" s="93">
        <f t="shared" si="24"/>
        <v>420.47423874351068</v>
      </c>
      <c r="AR18" s="93">
        <f t="shared" si="25"/>
        <v>1261.4227162305322</v>
      </c>
      <c r="AS18" s="91">
        <f t="shared" si="26"/>
        <v>5.2026715300089982E-2</v>
      </c>
      <c r="AT18" s="91">
        <f t="shared" si="27"/>
        <v>1.0442526536604274E-7</v>
      </c>
      <c r="AU18" s="91">
        <f t="shared" si="28"/>
        <v>0</v>
      </c>
      <c r="AV18" s="91">
        <f t="shared" si="29"/>
        <v>31.872584221093749</v>
      </c>
      <c r="AW18" s="91">
        <f t="shared" si="30"/>
        <v>26.384042663281249</v>
      </c>
      <c r="AX18" s="95">
        <f t="shared" si="31"/>
        <v>38.5</v>
      </c>
      <c r="AY18" s="90">
        <f t="shared" si="32"/>
        <v>2.4803708090655769</v>
      </c>
      <c r="AZ18" s="91">
        <f t="shared" si="33"/>
        <v>450.36260381976365</v>
      </c>
      <c r="BA18" s="91">
        <f t="shared" si="34"/>
        <v>351805.25159984658</v>
      </c>
      <c r="BB18" s="87">
        <f t="shared" si="35"/>
        <v>3518052515.998466</v>
      </c>
      <c r="BC18" s="90">
        <f t="shared" si="36"/>
        <v>3.5180525159984661</v>
      </c>
      <c r="BD18" s="87">
        <f t="shared" si="37"/>
        <v>0.5</v>
      </c>
      <c r="BE18" s="87">
        <f t="shared" si="38"/>
        <v>11.74</v>
      </c>
      <c r="BF18" s="87">
        <f t="shared" si="39"/>
        <v>0.33600000000000002</v>
      </c>
      <c r="BG18" s="90">
        <f t="shared" si="40"/>
        <v>0.36882999268500005</v>
      </c>
      <c r="BH18" s="91">
        <f t="shared" si="41"/>
        <v>0</v>
      </c>
      <c r="BI18" s="91">
        <f t="shared" si="42"/>
        <v>0</v>
      </c>
      <c r="BJ18" s="91">
        <f t="shared" si="43"/>
        <v>5.4885415578125007</v>
      </c>
      <c r="BK18" s="91">
        <f t="shared" si="44"/>
        <v>16.465624673437503</v>
      </c>
      <c r="BL18" s="87">
        <f t="shared" si="45"/>
        <v>0</v>
      </c>
      <c r="BM18" s="87">
        <f t="shared" si="46"/>
        <v>0</v>
      </c>
      <c r="BN18" s="92">
        <f t="shared" si="47"/>
        <v>12</v>
      </c>
      <c r="BO18" s="87">
        <f t="shared" si="48"/>
        <v>38.5</v>
      </c>
      <c r="BP18" s="87">
        <f t="shared" si="49"/>
        <v>336.68140413208914</v>
      </c>
      <c r="BQ18" s="87">
        <f t="shared" si="50"/>
        <v>0</v>
      </c>
      <c r="BR18" s="87">
        <f t="shared" si="51"/>
        <v>3.8500000000000001E-3</v>
      </c>
      <c r="BS18" s="92">
        <f t="shared" si="52"/>
        <v>1.3544502186594094E-2</v>
      </c>
      <c r="BT18" s="87">
        <f t="shared" si="53"/>
        <v>13544.502186594094</v>
      </c>
      <c r="BU18" s="91">
        <f t="shared" si="54"/>
        <v>36.722887116617443</v>
      </c>
      <c r="BV18" s="93">
        <f t="shared" si="55"/>
        <v>210.23711937175534</v>
      </c>
      <c r="BW18" s="93">
        <f t="shared" si="56"/>
        <v>630.71135811526608</v>
      </c>
      <c r="BX18" s="91">
        <f t="shared" si="57"/>
        <v>1.3822341310406128</v>
      </c>
      <c r="BY18" s="91">
        <f t="shared" si="58"/>
        <v>1.9582638310912063E-3</v>
      </c>
      <c r="BZ18" s="91">
        <f t="shared" si="59"/>
        <v>0</v>
      </c>
      <c r="CA18" s="91">
        <f t="shared" si="60"/>
        <v>29.128313442187501</v>
      </c>
      <c r="CB18" s="91">
        <f t="shared" si="61"/>
        <v>18.151230326562498</v>
      </c>
      <c r="CC18" s="95">
        <f t="shared" si="62"/>
        <v>57.75</v>
      </c>
      <c r="CD18" s="90">
        <f t="shared" si="63"/>
        <v>2.4803708090655769</v>
      </c>
      <c r="CE18" s="91">
        <f t="shared" si="64"/>
        <v>450.36260381976365</v>
      </c>
      <c r="CF18" s="91">
        <f t="shared" si="65"/>
        <v>351805.25159984658</v>
      </c>
      <c r="CG18" s="87">
        <f t="shared" si="66"/>
        <v>3518052515.998466</v>
      </c>
      <c r="CH18" s="90">
        <f t="shared" si="67"/>
        <v>3.5180525159984661</v>
      </c>
      <c r="CI18" s="87">
        <f t="shared" si="68"/>
        <v>0.5</v>
      </c>
      <c r="CJ18" s="87">
        <f t="shared" si="69"/>
        <v>11.74</v>
      </c>
      <c r="CK18" s="87">
        <f t="shared" si="70"/>
        <v>0.33600000000000002</v>
      </c>
      <c r="CL18" s="90">
        <f t="shared" si="71"/>
        <v>0.55324498902749997</v>
      </c>
      <c r="CM18" s="91">
        <f t="shared" si="72"/>
        <v>0</v>
      </c>
      <c r="CN18" s="91">
        <f t="shared" si="73"/>
        <v>0</v>
      </c>
      <c r="CO18" s="91">
        <f t="shared" si="74"/>
        <v>8.2328123367187498</v>
      </c>
      <c r="CP18" s="91">
        <f t="shared" si="75"/>
        <v>24.698437010156248</v>
      </c>
      <c r="CQ18" s="87">
        <f t="shared" si="76"/>
        <v>0</v>
      </c>
      <c r="CR18" s="87">
        <f t="shared" si="77"/>
        <v>0</v>
      </c>
      <c r="CS18" s="92">
        <f t="shared" si="78"/>
        <v>12</v>
      </c>
      <c r="CT18" s="87">
        <f t="shared" si="79"/>
        <v>57.75</v>
      </c>
      <c r="CU18" s="87">
        <f t="shared" si="80"/>
        <v>336.68140413208914</v>
      </c>
      <c r="CV18" s="87">
        <f t="shared" si="81"/>
        <v>0</v>
      </c>
      <c r="CW18" s="87">
        <f t="shared" si="82"/>
        <v>5.7749999999999998E-3</v>
      </c>
      <c r="CX18" s="92">
        <f t="shared" si="83"/>
        <v>2.0316753279891141E-2</v>
      </c>
      <c r="CY18" s="87">
        <f t="shared" si="84"/>
        <v>20316.753279891142</v>
      </c>
      <c r="CZ18" s="91">
        <f t="shared" si="85"/>
        <v>36.72288711661745</v>
      </c>
      <c r="DA18" s="93">
        <f t="shared" si="86"/>
        <v>140.15807958117026</v>
      </c>
      <c r="DB18" s="93">
        <f t="shared" si="87"/>
        <v>420.47423874351074</v>
      </c>
      <c r="DC18" s="91">
        <f t="shared" si="88"/>
        <v>4.1244560580453529</v>
      </c>
      <c r="DD18" s="91">
        <f t="shared" si="89"/>
        <v>5.2026715300089947E-2</v>
      </c>
      <c r="DE18" s="91">
        <f t="shared" si="90"/>
        <v>0</v>
      </c>
      <c r="DF18" s="91">
        <f t="shared" si="91"/>
        <v>26.384042663281249</v>
      </c>
      <c r="DG18" s="91">
        <f t="shared" si="92"/>
        <v>9.9184179898437534</v>
      </c>
      <c r="DH18" s="95">
        <f t="shared" si="93"/>
        <v>77</v>
      </c>
      <c r="DI18" s="90">
        <f t="shared" si="94"/>
        <v>2.4803708090655769</v>
      </c>
      <c r="DJ18" s="91">
        <f t="shared" si="95"/>
        <v>450.36260381976365</v>
      </c>
      <c r="DK18" s="91">
        <f t="shared" si="96"/>
        <v>351805.25159984658</v>
      </c>
      <c r="DL18" s="87">
        <f t="shared" si="97"/>
        <v>3518052515.998466</v>
      </c>
      <c r="DM18" s="90">
        <f t="shared" si="98"/>
        <v>3.5180525159984661</v>
      </c>
      <c r="DN18" s="87">
        <f t="shared" si="99"/>
        <v>0.5</v>
      </c>
      <c r="DO18" s="87">
        <f t="shared" si="100"/>
        <v>11.74</v>
      </c>
      <c r="DP18" s="87">
        <f t="shared" si="101"/>
        <v>0.33600000000000002</v>
      </c>
      <c r="DQ18" s="90">
        <f t="shared" si="102"/>
        <v>0.7376599853700001</v>
      </c>
      <c r="DR18" s="91">
        <f t="shared" si="103"/>
        <v>0</v>
      </c>
      <c r="DS18" s="91">
        <f t="shared" si="104"/>
        <v>0</v>
      </c>
      <c r="DT18" s="91">
        <f t="shared" si="105"/>
        <v>10.977083115625001</v>
      </c>
      <c r="DU18" s="91">
        <f t="shared" si="106"/>
        <v>32.931249346875006</v>
      </c>
      <c r="DV18" s="87">
        <f t="shared" si="107"/>
        <v>0</v>
      </c>
      <c r="DW18" s="87">
        <f t="shared" si="108"/>
        <v>0</v>
      </c>
      <c r="DX18" s="92">
        <f t="shared" si="109"/>
        <v>12</v>
      </c>
      <c r="DY18" s="87">
        <f t="shared" si="110"/>
        <v>77</v>
      </c>
      <c r="DZ18" s="87">
        <f t="shared" si="111"/>
        <v>336.68140413208914</v>
      </c>
      <c r="EA18" s="87">
        <f t="shared" si="112"/>
        <v>0</v>
      </c>
      <c r="EB18" s="87">
        <f t="shared" si="113"/>
        <v>7.7000000000000002E-3</v>
      </c>
      <c r="EC18" s="92">
        <f t="shared" si="114"/>
        <v>2.7089004373188189E-2</v>
      </c>
      <c r="ED18" s="87">
        <f t="shared" si="115"/>
        <v>27089.004373188189</v>
      </c>
      <c r="EE18" s="91">
        <f t="shared" si="116"/>
        <v>36.722887116617443</v>
      </c>
      <c r="EF18" s="93">
        <f t="shared" si="117"/>
        <v>105.11855968587767</v>
      </c>
      <c r="EG18" s="93">
        <f t="shared" si="118"/>
        <v>315.35567905763304</v>
      </c>
      <c r="EH18" s="91">
        <f t="shared" si="119"/>
        <v>7.1245791428645262</v>
      </c>
      <c r="EI18" s="91">
        <f t="shared" si="120"/>
        <v>0.26816618283019428</v>
      </c>
      <c r="EJ18" s="91">
        <f t="shared" si="121"/>
        <v>0</v>
      </c>
      <c r="EK18" s="91">
        <f t="shared" si="122"/>
        <v>23.639771884375001</v>
      </c>
      <c r="EL18" s="91">
        <f t="shared" si="123"/>
        <v>1.6856056531249948</v>
      </c>
    </row>
    <row r="19" spans="1:142" x14ac:dyDescent="0.4">
      <c r="A19" s="21">
        <v>122</v>
      </c>
      <c r="B19" s="21" t="s">
        <v>94</v>
      </c>
      <c r="C19" s="21">
        <v>48.858932000000003</v>
      </c>
      <c r="D19" s="21">
        <v>620502.19999999995</v>
      </c>
      <c r="E19" s="21">
        <v>6082737.7000000002</v>
      </c>
      <c r="F19" s="21">
        <v>748.7</v>
      </c>
      <c r="G19" s="21">
        <v>11</v>
      </c>
      <c r="H19" s="21">
        <v>0</v>
      </c>
      <c r="I19" s="21">
        <v>33.700000000000003</v>
      </c>
      <c r="J19" s="21">
        <v>0</v>
      </c>
      <c r="K19" s="21">
        <v>100</v>
      </c>
      <c r="L19" s="21">
        <v>3.2</v>
      </c>
      <c r="M19" s="21">
        <v>100</v>
      </c>
      <c r="N19" s="21">
        <v>0</v>
      </c>
      <c r="O19" s="35">
        <v>6</v>
      </c>
      <c r="P19" s="21">
        <v>90</v>
      </c>
      <c r="Q19" s="4">
        <v>781.16</v>
      </c>
      <c r="R19" s="4">
        <v>30.899999619999999</v>
      </c>
      <c r="S19" s="89">
        <f t="shared" si="0"/>
        <v>26.960000000000004</v>
      </c>
      <c r="T19" s="90">
        <f t="shared" si="1"/>
        <v>2.5942500198766076</v>
      </c>
      <c r="U19" s="91">
        <f t="shared" si="2"/>
        <v>460.0070341833499</v>
      </c>
      <c r="V19" s="91">
        <f t="shared" si="3"/>
        <v>359339.09482266562</v>
      </c>
      <c r="W19" s="87">
        <f t="shared" si="4"/>
        <v>3593390948.226656</v>
      </c>
      <c r="X19" s="90">
        <f t="shared" si="5"/>
        <v>3.5933909482266562</v>
      </c>
      <c r="Y19" s="87">
        <f t="shared" si="6"/>
        <v>0.5</v>
      </c>
      <c r="Z19" s="87">
        <f t="shared" si="7"/>
        <v>11.74</v>
      </c>
      <c r="AA19" s="87">
        <f t="shared" si="8"/>
        <v>0.33600000000000002</v>
      </c>
      <c r="AB19" s="90">
        <f t="shared" si="9"/>
        <v>0.25827679487760002</v>
      </c>
      <c r="AC19" s="91">
        <f t="shared" si="10"/>
        <v>0</v>
      </c>
      <c r="AD19" s="91">
        <f t="shared" si="11"/>
        <v>0</v>
      </c>
      <c r="AE19" s="91">
        <f t="shared" si="12"/>
        <v>3.8434046856785717</v>
      </c>
      <c r="AF19" s="91">
        <f t="shared" si="13"/>
        <v>11.530214057035716</v>
      </c>
      <c r="AG19" s="87">
        <f t="shared" si="14"/>
        <v>0</v>
      </c>
      <c r="AH19" s="87">
        <f t="shared" si="15"/>
        <v>0</v>
      </c>
      <c r="AI19" s="92">
        <f t="shared" si="16"/>
        <v>6</v>
      </c>
      <c r="AJ19" s="87">
        <f t="shared" si="17"/>
        <v>26.960000000000004</v>
      </c>
      <c r="AK19" s="87">
        <f t="shared" si="18"/>
        <v>669.67405634539386</v>
      </c>
      <c r="AL19" s="87">
        <f t="shared" si="19"/>
        <v>0</v>
      </c>
      <c r="AM19" s="87">
        <f t="shared" si="20"/>
        <v>2.6960000000000005E-3</v>
      </c>
      <c r="AN19" s="92">
        <f t="shared" si="21"/>
        <v>9.6877819964190665E-3</v>
      </c>
      <c r="AO19" s="87">
        <f t="shared" si="22"/>
        <v>9687.7819964190658</v>
      </c>
      <c r="AP19" s="91">
        <f t="shared" si="23"/>
        <v>37.509300829794654</v>
      </c>
      <c r="AQ19" s="93">
        <f t="shared" si="24"/>
        <v>423.74696391856116</v>
      </c>
      <c r="AR19" s="93">
        <f t="shared" si="25"/>
        <v>1271.2408917556836</v>
      </c>
      <c r="AS19" s="91">
        <f t="shared" si="26"/>
        <v>5.0495870779941582E-2</v>
      </c>
      <c r="AT19" s="91">
        <f t="shared" si="27"/>
        <v>9.1514446943364824E-8</v>
      </c>
      <c r="AU19" s="91">
        <f t="shared" si="28"/>
        <v>0</v>
      </c>
      <c r="AV19" s="91">
        <f t="shared" si="29"/>
        <v>45.015527314321432</v>
      </c>
      <c r="AW19" s="91">
        <f t="shared" si="30"/>
        <v>37.328717942964289</v>
      </c>
      <c r="AX19" s="95">
        <f t="shared" si="31"/>
        <v>53.920000000000009</v>
      </c>
      <c r="AY19" s="90">
        <f t="shared" si="32"/>
        <v>2.5942500198766076</v>
      </c>
      <c r="AZ19" s="91">
        <f t="shared" si="33"/>
        <v>460.0070341833499</v>
      </c>
      <c r="BA19" s="91">
        <f t="shared" si="34"/>
        <v>359339.09482266562</v>
      </c>
      <c r="BB19" s="87">
        <f t="shared" si="35"/>
        <v>3593390948.226656</v>
      </c>
      <c r="BC19" s="90">
        <f t="shared" si="36"/>
        <v>3.5933909482266562</v>
      </c>
      <c r="BD19" s="87">
        <f t="shared" si="37"/>
        <v>0.5</v>
      </c>
      <c r="BE19" s="87">
        <f t="shared" si="38"/>
        <v>11.74</v>
      </c>
      <c r="BF19" s="87">
        <f t="shared" si="39"/>
        <v>0.33600000000000002</v>
      </c>
      <c r="BG19" s="90">
        <f t="shared" si="40"/>
        <v>0.51655358975520005</v>
      </c>
      <c r="BH19" s="91">
        <f t="shared" si="41"/>
        <v>0</v>
      </c>
      <c r="BI19" s="91">
        <f t="shared" si="42"/>
        <v>0</v>
      </c>
      <c r="BJ19" s="91">
        <f t="shared" si="43"/>
        <v>7.6868093713571435</v>
      </c>
      <c r="BK19" s="91">
        <f t="shared" si="44"/>
        <v>23.060428114071431</v>
      </c>
      <c r="BL19" s="87">
        <f t="shared" si="45"/>
        <v>0</v>
      </c>
      <c r="BM19" s="87">
        <f t="shared" si="46"/>
        <v>0</v>
      </c>
      <c r="BN19" s="92">
        <f t="shared" si="47"/>
        <v>6</v>
      </c>
      <c r="BO19" s="87">
        <f t="shared" si="48"/>
        <v>53.920000000000009</v>
      </c>
      <c r="BP19" s="87">
        <f t="shared" si="49"/>
        <v>669.67405634539386</v>
      </c>
      <c r="BQ19" s="87">
        <f t="shared" si="50"/>
        <v>0</v>
      </c>
      <c r="BR19" s="87">
        <f t="shared" si="51"/>
        <v>5.392000000000001E-3</v>
      </c>
      <c r="BS19" s="92">
        <f t="shared" si="52"/>
        <v>1.9375563992838133E-2</v>
      </c>
      <c r="BT19" s="87">
        <f t="shared" si="53"/>
        <v>19375.563992838132</v>
      </c>
      <c r="BU19" s="91">
        <f t="shared" si="54"/>
        <v>37.509300829794654</v>
      </c>
      <c r="BV19" s="93">
        <f t="shared" si="55"/>
        <v>211.87348195928058</v>
      </c>
      <c r="BW19" s="93">
        <f t="shared" si="56"/>
        <v>635.6204458778418</v>
      </c>
      <c r="BX19" s="91">
        <f t="shared" si="57"/>
        <v>1.3762502707528403</v>
      </c>
      <c r="BY19" s="91">
        <f t="shared" si="58"/>
        <v>1.852739301863852E-3</v>
      </c>
      <c r="BZ19" s="91">
        <f t="shared" si="59"/>
        <v>0</v>
      </c>
      <c r="CA19" s="91">
        <f t="shared" si="60"/>
        <v>41.17212262864286</v>
      </c>
      <c r="CB19" s="91">
        <f t="shared" si="61"/>
        <v>25.798503885928572</v>
      </c>
      <c r="CC19" s="95">
        <f t="shared" si="62"/>
        <v>80.88000000000001</v>
      </c>
      <c r="CD19" s="90">
        <f t="shared" si="63"/>
        <v>2.5942500198766076</v>
      </c>
      <c r="CE19" s="91">
        <f t="shared" si="64"/>
        <v>460.0070341833499</v>
      </c>
      <c r="CF19" s="91">
        <f t="shared" si="65"/>
        <v>359339.09482266562</v>
      </c>
      <c r="CG19" s="87">
        <f t="shared" si="66"/>
        <v>3593390948.226656</v>
      </c>
      <c r="CH19" s="90">
        <f t="shared" si="67"/>
        <v>3.5933909482266562</v>
      </c>
      <c r="CI19" s="87">
        <f t="shared" si="68"/>
        <v>0.5</v>
      </c>
      <c r="CJ19" s="87">
        <f t="shared" si="69"/>
        <v>11.74</v>
      </c>
      <c r="CK19" s="87">
        <f t="shared" si="70"/>
        <v>0.33600000000000002</v>
      </c>
      <c r="CL19" s="90">
        <f t="shared" si="71"/>
        <v>0.77483038463280018</v>
      </c>
      <c r="CM19" s="91">
        <f t="shared" si="72"/>
        <v>0</v>
      </c>
      <c r="CN19" s="91">
        <f t="shared" si="73"/>
        <v>0</v>
      </c>
      <c r="CO19" s="91">
        <f t="shared" si="74"/>
        <v>11.530214057035716</v>
      </c>
      <c r="CP19" s="91">
        <f t="shared" si="75"/>
        <v>34.590642171107149</v>
      </c>
      <c r="CQ19" s="87">
        <f t="shared" si="76"/>
        <v>0</v>
      </c>
      <c r="CR19" s="87">
        <f t="shared" si="77"/>
        <v>0</v>
      </c>
      <c r="CS19" s="92">
        <f t="shared" si="78"/>
        <v>6</v>
      </c>
      <c r="CT19" s="87">
        <f t="shared" si="79"/>
        <v>80.88000000000001</v>
      </c>
      <c r="CU19" s="87">
        <f t="shared" si="80"/>
        <v>669.67405634539386</v>
      </c>
      <c r="CV19" s="87">
        <f t="shared" si="81"/>
        <v>0</v>
      </c>
      <c r="CW19" s="87">
        <f t="shared" si="82"/>
        <v>8.0880000000000014E-3</v>
      </c>
      <c r="CX19" s="92">
        <f t="shared" si="83"/>
        <v>2.9063345989257201E-2</v>
      </c>
      <c r="CY19" s="87">
        <f t="shared" si="84"/>
        <v>29063.345989257199</v>
      </c>
      <c r="CZ19" s="91">
        <f t="shared" si="85"/>
        <v>37.509300829794654</v>
      </c>
      <c r="DA19" s="93">
        <f t="shared" si="86"/>
        <v>141.24898797285371</v>
      </c>
      <c r="DB19" s="93">
        <f t="shared" si="87"/>
        <v>423.74696391856116</v>
      </c>
      <c r="DC19" s="91">
        <f t="shared" si="88"/>
        <v>4.1416932921220599</v>
      </c>
      <c r="DD19" s="91">
        <f t="shared" si="89"/>
        <v>5.0495870779941582E-2</v>
      </c>
      <c r="DE19" s="91">
        <f t="shared" si="90"/>
        <v>0</v>
      </c>
      <c r="DF19" s="91">
        <f t="shared" si="91"/>
        <v>37.328717942964289</v>
      </c>
      <c r="DG19" s="91">
        <f t="shared" si="92"/>
        <v>14.268289828892854</v>
      </c>
      <c r="DH19" s="95">
        <f t="shared" si="93"/>
        <v>107.84000000000002</v>
      </c>
      <c r="DI19" s="90">
        <f t="shared" si="94"/>
        <v>2.5942500198766076</v>
      </c>
      <c r="DJ19" s="91">
        <f t="shared" si="95"/>
        <v>460.0070341833499</v>
      </c>
      <c r="DK19" s="91">
        <f t="shared" si="96"/>
        <v>359339.09482266562</v>
      </c>
      <c r="DL19" s="87">
        <f t="shared" si="97"/>
        <v>3593390948.226656</v>
      </c>
      <c r="DM19" s="90">
        <f t="shared" si="98"/>
        <v>3.5933909482266562</v>
      </c>
      <c r="DN19" s="87">
        <f t="shared" si="99"/>
        <v>0.5</v>
      </c>
      <c r="DO19" s="87">
        <f t="shared" si="100"/>
        <v>11.74</v>
      </c>
      <c r="DP19" s="87">
        <f t="shared" si="101"/>
        <v>0.33600000000000002</v>
      </c>
      <c r="DQ19" s="90">
        <f t="shared" si="102"/>
        <v>1.0331071795104001</v>
      </c>
      <c r="DR19" s="91">
        <f t="shared" si="103"/>
        <v>0</v>
      </c>
      <c r="DS19" s="91">
        <f t="shared" si="104"/>
        <v>0</v>
      </c>
      <c r="DT19" s="91">
        <f t="shared" si="105"/>
        <v>15.373618742714287</v>
      </c>
      <c r="DU19" s="91">
        <f t="shared" si="106"/>
        <v>46.120856228142863</v>
      </c>
      <c r="DV19" s="87">
        <f t="shared" si="107"/>
        <v>0</v>
      </c>
      <c r="DW19" s="87">
        <f t="shared" si="108"/>
        <v>0</v>
      </c>
      <c r="DX19" s="92">
        <f t="shared" si="109"/>
        <v>6</v>
      </c>
      <c r="DY19" s="87">
        <f t="shared" si="110"/>
        <v>107.84000000000002</v>
      </c>
      <c r="DZ19" s="87">
        <f t="shared" si="111"/>
        <v>669.67405634539386</v>
      </c>
      <c r="EA19" s="87">
        <f t="shared" si="112"/>
        <v>0</v>
      </c>
      <c r="EB19" s="87">
        <f t="shared" si="113"/>
        <v>1.0784000000000002E-2</v>
      </c>
      <c r="EC19" s="92">
        <f t="shared" si="114"/>
        <v>3.8751127985676266E-2</v>
      </c>
      <c r="ED19" s="87">
        <f t="shared" si="115"/>
        <v>38751.127985676263</v>
      </c>
      <c r="EE19" s="91">
        <f t="shared" si="116"/>
        <v>37.509300829794654</v>
      </c>
      <c r="EF19" s="93">
        <f t="shared" si="117"/>
        <v>105.93674097964029</v>
      </c>
      <c r="EG19" s="93">
        <f t="shared" si="118"/>
        <v>317.8102229389209</v>
      </c>
      <c r="EH19" s="91">
        <f t="shared" si="119"/>
        <v>7.184858065595634</v>
      </c>
      <c r="EI19" s="91">
        <f t="shared" si="120"/>
        <v>0.26361895954728853</v>
      </c>
      <c r="EJ19" s="91">
        <f t="shared" si="121"/>
        <v>0</v>
      </c>
      <c r="EK19" s="91">
        <f t="shared" si="122"/>
        <v>33.485313257285718</v>
      </c>
      <c r="EL19" s="91">
        <f t="shared" si="123"/>
        <v>2.7380757718571402</v>
      </c>
    </row>
    <row r="20" spans="1:142" x14ac:dyDescent="0.4">
      <c r="A20" s="21">
        <v>69</v>
      </c>
      <c r="B20" s="21" t="s">
        <v>94</v>
      </c>
      <c r="C20" s="21">
        <v>49.795875000000002</v>
      </c>
      <c r="D20" s="21">
        <v>619712.5</v>
      </c>
      <c r="E20" s="21">
        <v>6081464.2999999998</v>
      </c>
      <c r="F20" s="21">
        <v>752.1</v>
      </c>
      <c r="G20" s="21">
        <v>11</v>
      </c>
      <c r="H20" s="21">
        <v>0</v>
      </c>
      <c r="I20" s="21">
        <v>34.200000000000003</v>
      </c>
      <c r="J20" s="21">
        <v>0</v>
      </c>
      <c r="K20" s="21">
        <v>100</v>
      </c>
      <c r="L20" s="21">
        <v>2.5</v>
      </c>
      <c r="M20" s="21">
        <v>100</v>
      </c>
      <c r="N20" s="21">
        <v>0</v>
      </c>
      <c r="O20" s="35">
        <v>7</v>
      </c>
      <c r="P20" s="21">
        <v>90</v>
      </c>
      <c r="Q20" s="4">
        <v>781.16</v>
      </c>
      <c r="R20" s="4">
        <v>30.899999619999999</v>
      </c>
      <c r="S20" s="89">
        <f t="shared" si="0"/>
        <v>21.375</v>
      </c>
      <c r="T20" s="90">
        <f t="shared" si="1"/>
        <v>2.5942500198766076</v>
      </c>
      <c r="U20" s="91">
        <f t="shared" si="2"/>
        <v>460.0070341833499</v>
      </c>
      <c r="V20" s="91">
        <f t="shared" si="3"/>
        <v>359339.09482266562</v>
      </c>
      <c r="W20" s="87">
        <f t="shared" si="4"/>
        <v>3593390948.226656</v>
      </c>
      <c r="X20" s="90">
        <f t="shared" si="5"/>
        <v>3.5933909482266562</v>
      </c>
      <c r="Y20" s="87">
        <f t="shared" si="6"/>
        <v>0.5</v>
      </c>
      <c r="Z20" s="87">
        <f t="shared" si="7"/>
        <v>11.74</v>
      </c>
      <c r="AA20" s="87">
        <f t="shared" si="8"/>
        <v>0.33600000000000002</v>
      </c>
      <c r="AB20" s="90">
        <f t="shared" si="9"/>
        <v>0.20477249593875002</v>
      </c>
      <c r="AC20" s="91">
        <f t="shared" si="10"/>
        <v>0</v>
      </c>
      <c r="AD20" s="91">
        <f t="shared" si="11"/>
        <v>0</v>
      </c>
      <c r="AE20" s="91">
        <f t="shared" si="12"/>
        <v>3.0472097609933035</v>
      </c>
      <c r="AF20" s="91">
        <f t="shared" si="13"/>
        <v>9.1416292829799097</v>
      </c>
      <c r="AG20" s="87">
        <f t="shared" si="14"/>
        <v>0</v>
      </c>
      <c r="AH20" s="87">
        <f t="shared" si="15"/>
        <v>0</v>
      </c>
      <c r="AI20" s="92">
        <f t="shared" si="16"/>
        <v>7</v>
      </c>
      <c r="AJ20" s="87">
        <f t="shared" si="17"/>
        <v>21.375</v>
      </c>
      <c r="AK20" s="87">
        <f t="shared" si="18"/>
        <v>574.38563336875552</v>
      </c>
      <c r="AL20" s="87">
        <f t="shared" si="19"/>
        <v>0</v>
      </c>
      <c r="AM20" s="87">
        <f t="shared" si="20"/>
        <v>2.1375000000000001E-3</v>
      </c>
      <c r="AN20" s="92">
        <f t="shared" si="21"/>
        <v>7.6808731518344777E-3</v>
      </c>
      <c r="AO20" s="87">
        <f t="shared" si="22"/>
        <v>7680.8731518344775</v>
      </c>
      <c r="AP20" s="91">
        <f t="shared" si="23"/>
        <v>37.509300829794654</v>
      </c>
      <c r="AQ20" s="93">
        <f t="shared" si="24"/>
        <v>544.7155365697347</v>
      </c>
      <c r="AR20" s="93">
        <f t="shared" si="25"/>
        <v>1634.1466097092039</v>
      </c>
      <c r="AS20" s="91">
        <f t="shared" si="26"/>
        <v>7.6505828375099871E-3</v>
      </c>
      <c r="AT20" s="91">
        <f t="shared" si="27"/>
        <v>3.1827727244994405E-10</v>
      </c>
      <c r="AU20" s="91">
        <f t="shared" si="28"/>
        <v>0</v>
      </c>
      <c r="AV20" s="91">
        <f t="shared" si="29"/>
        <v>46.748665239006698</v>
      </c>
      <c r="AW20" s="91">
        <f t="shared" si="30"/>
        <v>40.654245717020089</v>
      </c>
      <c r="AX20" s="95">
        <f t="shared" si="31"/>
        <v>42.75</v>
      </c>
      <c r="AY20" s="90">
        <f t="shared" si="32"/>
        <v>2.5942500198766076</v>
      </c>
      <c r="AZ20" s="91">
        <f t="shared" si="33"/>
        <v>460.0070341833499</v>
      </c>
      <c r="BA20" s="91">
        <f t="shared" si="34"/>
        <v>359339.09482266562</v>
      </c>
      <c r="BB20" s="87">
        <f t="shared" si="35"/>
        <v>3593390948.226656</v>
      </c>
      <c r="BC20" s="90">
        <f t="shared" si="36"/>
        <v>3.5933909482266562</v>
      </c>
      <c r="BD20" s="87">
        <f t="shared" si="37"/>
        <v>0.5</v>
      </c>
      <c r="BE20" s="87">
        <f t="shared" si="38"/>
        <v>11.74</v>
      </c>
      <c r="BF20" s="87">
        <f t="shared" si="39"/>
        <v>0.33600000000000002</v>
      </c>
      <c r="BG20" s="90">
        <f t="shared" si="40"/>
        <v>0.40954499187750004</v>
      </c>
      <c r="BH20" s="91">
        <f t="shared" si="41"/>
        <v>0</v>
      </c>
      <c r="BI20" s="91">
        <f t="shared" si="42"/>
        <v>0</v>
      </c>
      <c r="BJ20" s="91">
        <f t="shared" si="43"/>
        <v>6.0944195219866071</v>
      </c>
      <c r="BK20" s="91">
        <f t="shared" si="44"/>
        <v>18.283258565959819</v>
      </c>
      <c r="BL20" s="87">
        <f t="shared" si="45"/>
        <v>0</v>
      </c>
      <c r="BM20" s="87">
        <f t="shared" si="46"/>
        <v>0</v>
      </c>
      <c r="BN20" s="92">
        <f t="shared" si="47"/>
        <v>7</v>
      </c>
      <c r="BO20" s="87">
        <f t="shared" si="48"/>
        <v>42.75</v>
      </c>
      <c r="BP20" s="87">
        <f t="shared" si="49"/>
        <v>574.38563336875552</v>
      </c>
      <c r="BQ20" s="87">
        <f t="shared" si="50"/>
        <v>0</v>
      </c>
      <c r="BR20" s="87">
        <f t="shared" si="51"/>
        <v>4.2750000000000002E-3</v>
      </c>
      <c r="BS20" s="92">
        <f t="shared" si="52"/>
        <v>1.5361746303668955E-2</v>
      </c>
      <c r="BT20" s="87">
        <f t="shared" si="53"/>
        <v>15361.746303668955</v>
      </c>
      <c r="BU20" s="91">
        <f t="shared" si="54"/>
        <v>37.509300829794654</v>
      </c>
      <c r="BV20" s="93">
        <f t="shared" si="55"/>
        <v>272.35776828486735</v>
      </c>
      <c r="BW20" s="93">
        <f t="shared" si="56"/>
        <v>817.07330485460193</v>
      </c>
      <c r="BX20" s="91">
        <f t="shared" si="57"/>
        <v>0.5356939547684163</v>
      </c>
      <c r="BY20" s="91">
        <f t="shared" si="58"/>
        <v>1.0926279311646516E-4</v>
      </c>
      <c r="BZ20" s="91">
        <f t="shared" si="59"/>
        <v>0</v>
      </c>
      <c r="CA20" s="91">
        <f t="shared" si="60"/>
        <v>43.701455478013393</v>
      </c>
      <c r="CB20" s="91">
        <f t="shared" si="61"/>
        <v>31.512616434040183</v>
      </c>
      <c r="CC20" s="95">
        <f t="shared" si="62"/>
        <v>64.125</v>
      </c>
      <c r="CD20" s="90">
        <f t="shared" si="63"/>
        <v>2.5942500198766076</v>
      </c>
      <c r="CE20" s="91">
        <f t="shared" si="64"/>
        <v>460.0070341833499</v>
      </c>
      <c r="CF20" s="91">
        <f t="shared" si="65"/>
        <v>359339.09482266562</v>
      </c>
      <c r="CG20" s="87">
        <f t="shared" si="66"/>
        <v>3593390948.226656</v>
      </c>
      <c r="CH20" s="90">
        <f t="shared" si="67"/>
        <v>3.5933909482266562</v>
      </c>
      <c r="CI20" s="87">
        <f t="shared" si="68"/>
        <v>0.5</v>
      </c>
      <c r="CJ20" s="87">
        <f t="shared" si="69"/>
        <v>11.74</v>
      </c>
      <c r="CK20" s="87">
        <f t="shared" si="70"/>
        <v>0.33600000000000002</v>
      </c>
      <c r="CL20" s="90">
        <f t="shared" si="71"/>
        <v>0.61431748781625006</v>
      </c>
      <c r="CM20" s="91">
        <f t="shared" si="72"/>
        <v>0</v>
      </c>
      <c r="CN20" s="91">
        <f t="shared" si="73"/>
        <v>0</v>
      </c>
      <c r="CO20" s="91">
        <f t="shared" si="74"/>
        <v>9.1416292829799115</v>
      </c>
      <c r="CP20" s="91">
        <f t="shared" si="75"/>
        <v>27.424887848939733</v>
      </c>
      <c r="CQ20" s="87">
        <f t="shared" si="76"/>
        <v>0</v>
      </c>
      <c r="CR20" s="87">
        <f t="shared" si="77"/>
        <v>0</v>
      </c>
      <c r="CS20" s="92">
        <f t="shared" si="78"/>
        <v>7</v>
      </c>
      <c r="CT20" s="87">
        <f t="shared" si="79"/>
        <v>64.125</v>
      </c>
      <c r="CU20" s="87">
        <f t="shared" si="80"/>
        <v>574.38563336875552</v>
      </c>
      <c r="CV20" s="87">
        <f t="shared" si="81"/>
        <v>0</v>
      </c>
      <c r="CW20" s="87">
        <f t="shared" si="82"/>
        <v>6.4124999999999998E-3</v>
      </c>
      <c r="CX20" s="92">
        <f t="shared" si="83"/>
        <v>2.304261945550343E-2</v>
      </c>
      <c r="CY20" s="87">
        <f t="shared" si="84"/>
        <v>23042.619455503431</v>
      </c>
      <c r="CZ20" s="91">
        <f t="shared" si="85"/>
        <v>37.509300829794647</v>
      </c>
      <c r="DA20" s="93">
        <f t="shared" si="86"/>
        <v>181.57184552324486</v>
      </c>
      <c r="DB20" s="93">
        <f t="shared" si="87"/>
        <v>544.71553656973458</v>
      </c>
      <c r="DC20" s="91">
        <f t="shared" si="88"/>
        <v>2.2079580611480658</v>
      </c>
      <c r="DD20" s="91">
        <f t="shared" si="89"/>
        <v>7.6505828375099992E-3</v>
      </c>
      <c r="DE20" s="91">
        <f t="shared" si="90"/>
        <v>0</v>
      </c>
      <c r="DF20" s="91">
        <f t="shared" si="91"/>
        <v>40.654245717020089</v>
      </c>
      <c r="DG20" s="91">
        <f t="shared" si="92"/>
        <v>22.37098715106027</v>
      </c>
      <c r="DH20" s="95">
        <f t="shared" si="93"/>
        <v>85.5</v>
      </c>
      <c r="DI20" s="90">
        <f t="shared" si="94"/>
        <v>2.5942500198766076</v>
      </c>
      <c r="DJ20" s="91">
        <f t="shared" si="95"/>
        <v>460.0070341833499</v>
      </c>
      <c r="DK20" s="91">
        <f t="shared" si="96"/>
        <v>359339.09482266562</v>
      </c>
      <c r="DL20" s="87">
        <f t="shared" si="97"/>
        <v>3593390948.226656</v>
      </c>
      <c r="DM20" s="90">
        <f t="shared" si="98"/>
        <v>3.5933909482266562</v>
      </c>
      <c r="DN20" s="87">
        <f t="shared" si="99"/>
        <v>0.5</v>
      </c>
      <c r="DO20" s="87">
        <f t="shared" si="100"/>
        <v>11.74</v>
      </c>
      <c r="DP20" s="87">
        <f t="shared" si="101"/>
        <v>0.33600000000000002</v>
      </c>
      <c r="DQ20" s="90">
        <f t="shared" si="102"/>
        <v>0.81908998375500008</v>
      </c>
      <c r="DR20" s="91">
        <f t="shared" si="103"/>
        <v>0</v>
      </c>
      <c r="DS20" s="91">
        <f t="shared" si="104"/>
        <v>0</v>
      </c>
      <c r="DT20" s="91">
        <f t="shared" si="105"/>
        <v>12.188839043973214</v>
      </c>
      <c r="DU20" s="91">
        <f t="shared" si="106"/>
        <v>36.566517131919639</v>
      </c>
      <c r="DV20" s="87">
        <f t="shared" si="107"/>
        <v>0</v>
      </c>
      <c r="DW20" s="87">
        <f t="shared" si="108"/>
        <v>0</v>
      </c>
      <c r="DX20" s="92">
        <f t="shared" si="109"/>
        <v>7</v>
      </c>
      <c r="DY20" s="87">
        <f t="shared" si="110"/>
        <v>85.5</v>
      </c>
      <c r="DZ20" s="87">
        <f t="shared" si="111"/>
        <v>574.38563336875552</v>
      </c>
      <c r="EA20" s="87">
        <f t="shared" si="112"/>
        <v>0</v>
      </c>
      <c r="EB20" s="87">
        <f t="shared" si="113"/>
        <v>8.5500000000000003E-3</v>
      </c>
      <c r="EC20" s="92">
        <f t="shared" si="114"/>
        <v>3.0723492607337911E-2</v>
      </c>
      <c r="ED20" s="87">
        <f t="shared" si="115"/>
        <v>30723.49260733791</v>
      </c>
      <c r="EE20" s="91">
        <f t="shared" si="116"/>
        <v>37.509300829794654</v>
      </c>
      <c r="EF20" s="93">
        <f t="shared" si="117"/>
        <v>136.17888414243367</v>
      </c>
      <c r="EG20" s="93">
        <f t="shared" si="118"/>
        <v>408.53665242730096</v>
      </c>
      <c r="EH20" s="91">
        <f t="shared" si="119"/>
        <v>4.4825780196345653</v>
      </c>
      <c r="EI20" s="91">
        <f t="shared" si="120"/>
        <v>6.401852057419874E-2</v>
      </c>
      <c r="EJ20" s="91">
        <f t="shared" si="121"/>
        <v>0</v>
      </c>
      <c r="EK20" s="91">
        <f t="shared" si="122"/>
        <v>37.607035956026792</v>
      </c>
      <c r="EL20" s="91">
        <f t="shared" si="123"/>
        <v>13.229357868080363</v>
      </c>
    </row>
    <row r="21" spans="1:142" x14ac:dyDescent="0.4">
      <c r="A21" s="21">
        <v>119</v>
      </c>
      <c r="B21" s="21" t="s">
        <v>94</v>
      </c>
      <c r="C21" s="21">
        <v>55.453921000000001</v>
      </c>
      <c r="D21" s="21">
        <v>620468.80000000005</v>
      </c>
      <c r="E21" s="21">
        <v>6082644.0999999996</v>
      </c>
      <c r="F21" s="21">
        <v>752.5</v>
      </c>
      <c r="G21" s="21">
        <v>17</v>
      </c>
      <c r="H21" s="21">
        <v>0</v>
      </c>
      <c r="I21" s="21">
        <v>41</v>
      </c>
      <c r="J21" s="21">
        <v>0</v>
      </c>
      <c r="K21" s="21">
        <v>100</v>
      </c>
      <c r="L21" s="21">
        <v>3</v>
      </c>
      <c r="M21" s="21">
        <v>100</v>
      </c>
      <c r="N21" s="21">
        <v>1</v>
      </c>
      <c r="O21" s="35">
        <v>10</v>
      </c>
      <c r="P21" s="21">
        <v>90</v>
      </c>
      <c r="Q21" s="4">
        <v>781.16</v>
      </c>
      <c r="R21" s="4">
        <v>30.899999619999999</v>
      </c>
      <c r="S21" s="89">
        <f t="shared" si="0"/>
        <v>30.75</v>
      </c>
      <c r="T21" s="90">
        <f t="shared" si="1"/>
        <v>3.2456920022533735</v>
      </c>
      <c r="U21" s="91">
        <f t="shared" si="2"/>
        <v>515.17765567083813</v>
      </c>
      <c r="V21" s="91">
        <f t="shared" si="3"/>
        <v>402436.17750383192</v>
      </c>
      <c r="W21" s="87">
        <f t="shared" si="4"/>
        <v>4024361775.0383191</v>
      </c>
      <c r="X21" s="90">
        <f t="shared" si="5"/>
        <v>4.0243617750383187</v>
      </c>
      <c r="Y21" s="87">
        <f t="shared" si="6"/>
        <v>0.5</v>
      </c>
      <c r="Z21" s="87">
        <f t="shared" si="7"/>
        <v>11.74</v>
      </c>
      <c r="AA21" s="87">
        <f t="shared" si="8"/>
        <v>0.33600000000000002</v>
      </c>
      <c r="AB21" s="90">
        <f t="shared" si="9"/>
        <v>0.29458499415750006</v>
      </c>
      <c r="AC21" s="91">
        <f t="shared" si="10"/>
        <v>0</v>
      </c>
      <c r="AD21" s="91">
        <f t="shared" si="11"/>
        <v>0</v>
      </c>
      <c r="AE21" s="91">
        <f t="shared" si="12"/>
        <v>4.3837052702008936</v>
      </c>
      <c r="AF21" s="91">
        <f t="shared" si="13"/>
        <v>13.151115810602681</v>
      </c>
      <c r="AG21" s="87">
        <f t="shared" si="14"/>
        <v>0</v>
      </c>
      <c r="AH21" s="87">
        <f t="shared" si="15"/>
        <v>1</v>
      </c>
      <c r="AI21" s="92">
        <f t="shared" si="16"/>
        <v>10</v>
      </c>
      <c r="AJ21" s="87">
        <f t="shared" si="17"/>
        <v>30.75</v>
      </c>
      <c r="AK21" s="87">
        <f t="shared" si="18"/>
        <v>403.1139338200544</v>
      </c>
      <c r="AL21" s="87">
        <f t="shared" si="19"/>
        <v>0</v>
      </c>
      <c r="AM21" s="87">
        <f t="shared" si="20"/>
        <v>3.075E-3</v>
      </c>
      <c r="AN21" s="92">
        <f t="shared" si="21"/>
        <v>1.2374912458242831E-2</v>
      </c>
      <c r="AO21" s="87">
        <f t="shared" si="22"/>
        <v>12374.91245824283</v>
      </c>
      <c r="AP21" s="91">
        <f t="shared" si="23"/>
        <v>42.007952555881296</v>
      </c>
      <c r="AQ21" s="93">
        <f t="shared" si="24"/>
        <v>421.66704178281202</v>
      </c>
      <c r="AR21" s="93">
        <f t="shared" si="25"/>
        <v>1265.0011253484361</v>
      </c>
      <c r="AS21" s="91">
        <f t="shared" si="26"/>
        <v>5.8417083579250045E-2</v>
      </c>
      <c r="AT21" s="91">
        <f t="shared" si="27"/>
        <v>1.1296829774699014E-7</v>
      </c>
      <c r="AU21" s="91">
        <f t="shared" si="28"/>
        <v>0</v>
      </c>
      <c r="AV21" s="91">
        <f t="shared" si="29"/>
        <v>51.070215729799109</v>
      </c>
      <c r="AW21" s="91">
        <f t="shared" si="30"/>
        <v>42.302805189397318</v>
      </c>
      <c r="AX21" s="95">
        <f t="shared" si="31"/>
        <v>61.5</v>
      </c>
      <c r="AY21" s="90">
        <f t="shared" si="32"/>
        <v>3.2456920022533735</v>
      </c>
      <c r="AZ21" s="91">
        <f t="shared" si="33"/>
        <v>515.17765567083813</v>
      </c>
      <c r="BA21" s="91">
        <f t="shared" si="34"/>
        <v>402436.17750383192</v>
      </c>
      <c r="BB21" s="87">
        <f t="shared" si="35"/>
        <v>4024361775.0383191</v>
      </c>
      <c r="BC21" s="90">
        <f t="shared" si="36"/>
        <v>4.0243617750383187</v>
      </c>
      <c r="BD21" s="87">
        <f t="shared" si="37"/>
        <v>0.5</v>
      </c>
      <c r="BE21" s="87">
        <f t="shared" si="38"/>
        <v>11.74</v>
      </c>
      <c r="BF21" s="87">
        <f t="shared" si="39"/>
        <v>0.33600000000000002</v>
      </c>
      <c r="BG21" s="90">
        <f t="shared" si="40"/>
        <v>0.58916998831500011</v>
      </c>
      <c r="BH21" s="91">
        <f t="shared" si="41"/>
        <v>0</v>
      </c>
      <c r="BI21" s="91">
        <f t="shared" si="42"/>
        <v>0</v>
      </c>
      <c r="BJ21" s="91">
        <f t="shared" si="43"/>
        <v>8.7674105404017872</v>
      </c>
      <c r="BK21" s="91">
        <f t="shared" si="44"/>
        <v>26.302231621205362</v>
      </c>
      <c r="BL21" s="87">
        <f t="shared" si="45"/>
        <v>0</v>
      </c>
      <c r="BM21" s="87">
        <f t="shared" si="46"/>
        <v>1</v>
      </c>
      <c r="BN21" s="92">
        <f t="shared" si="47"/>
        <v>10</v>
      </c>
      <c r="BO21" s="87">
        <f t="shared" si="48"/>
        <v>61.5</v>
      </c>
      <c r="BP21" s="87">
        <f t="shared" si="49"/>
        <v>403.1139338200544</v>
      </c>
      <c r="BQ21" s="87">
        <f t="shared" si="50"/>
        <v>0</v>
      </c>
      <c r="BR21" s="87">
        <f t="shared" si="51"/>
        <v>6.1500000000000001E-3</v>
      </c>
      <c r="BS21" s="92">
        <f t="shared" si="52"/>
        <v>2.4749824916485662E-2</v>
      </c>
      <c r="BT21" s="87">
        <f t="shared" si="53"/>
        <v>24749.824916485661</v>
      </c>
      <c r="BU21" s="91">
        <f t="shared" si="54"/>
        <v>42.007952555881296</v>
      </c>
      <c r="BV21" s="93">
        <f t="shared" si="55"/>
        <v>210.83352089140601</v>
      </c>
      <c r="BW21" s="93">
        <f t="shared" si="56"/>
        <v>632.50056267421803</v>
      </c>
      <c r="BX21" s="91">
        <f t="shared" si="57"/>
        <v>1.5665190951437802</v>
      </c>
      <c r="BY21" s="91">
        <f t="shared" si="58"/>
        <v>2.178432209657724E-3</v>
      </c>
      <c r="BZ21" s="91">
        <f t="shared" si="59"/>
        <v>0</v>
      </c>
      <c r="CA21" s="91">
        <f t="shared" si="60"/>
        <v>46.68651045959821</v>
      </c>
      <c r="CB21" s="91">
        <f t="shared" si="61"/>
        <v>29.151689378794639</v>
      </c>
      <c r="CC21" s="95">
        <f t="shared" si="62"/>
        <v>92.25</v>
      </c>
      <c r="CD21" s="90">
        <f t="shared" si="63"/>
        <v>3.2456920022533735</v>
      </c>
      <c r="CE21" s="91">
        <f t="shared" si="64"/>
        <v>515.17765567083813</v>
      </c>
      <c r="CF21" s="91">
        <f t="shared" si="65"/>
        <v>402436.17750383192</v>
      </c>
      <c r="CG21" s="87">
        <f t="shared" si="66"/>
        <v>4024361775.0383191</v>
      </c>
      <c r="CH21" s="90">
        <f t="shared" si="67"/>
        <v>4.0243617750383187</v>
      </c>
      <c r="CI21" s="87">
        <f t="shared" si="68"/>
        <v>0.5</v>
      </c>
      <c r="CJ21" s="87">
        <f t="shared" si="69"/>
        <v>11.74</v>
      </c>
      <c r="CK21" s="87">
        <f t="shared" si="70"/>
        <v>0.33600000000000002</v>
      </c>
      <c r="CL21" s="90">
        <f t="shared" si="71"/>
        <v>0.88375498247250006</v>
      </c>
      <c r="CM21" s="91">
        <f t="shared" si="72"/>
        <v>0</v>
      </c>
      <c r="CN21" s="91">
        <f t="shared" si="73"/>
        <v>0</v>
      </c>
      <c r="CO21" s="91">
        <f t="shared" si="74"/>
        <v>13.151115810602679</v>
      </c>
      <c r="CP21" s="91">
        <f t="shared" si="75"/>
        <v>39.453347431808041</v>
      </c>
      <c r="CQ21" s="87">
        <f t="shared" si="76"/>
        <v>0</v>
      </c>
      <c r="CR21" s="87">
        <f t="shared" si="77"/>
        <v>1</v>
      </c>
      <c r="CS21" s="92">
        <f t="shared" si="78"/>
        <v>10</v>
      </c>
      <c r="CT21" s="87">
        <f t="shared" si="79"/>
        <v>92.25</v>
      </c>
      <c r="CU21" s="87">
        <f t="shared" si="80"/>
        <v>403.1139338200544</v>
      </c>
      <c r="CV21" s="87">
        <f t="shared" si="81"/>
        <v>0</v>
      </c>
      <c r="CW21" s="87">
        <f t="shared" si="82"/>
        <v>9.2250000000000006E-3</v>
      </c>
      <c r="CX21" s="92">
        <f t="shared" si="83"/>
        <v>3.7124737374728489E-2</v>
      </c>
      <c r="CY21" s="87">
        <f t="shared" si="84"/>
        <v>37124.737374728487</v>
      </c>
      <c r="CZ21" s="91">
        <f t="shared" si="85"/>
        <v>42.007952555881296</v>
      </c>
      <c r="DA21" s="93">
        <f t="shared" si="86"/>
        <v>140.55568059427068</v>
      </c>
      <c r="DB21" s="93">
        <f t="shared" si="87"/>
        <v>421.66704178281202</v>
      </c>
      <c r="DC21" s="91">
        <f t="shared" si="88"/>
        <v>4.6888639719735448</v>
      </c>
      <c r="DD21" s="91">
        <f t="shared" si="89"/>
        <v>5.8417083579250045E-2</v>
      </c>
      <c r="DE21" s="91">
        <f t="shared" si="90"/>
        <v>0</v>
      </c>
      <c r="DF21" s="91">
        <f t="shared" si="91"/>
        <v>42.302805189397318</v>
      </c>
      <c r="DG21" s="91">
        <f t="shared" si="92"/>
        <v>16.00057356819196</v>
      </c>
      <c r="DH21" s="95">
        <f t="shared" si="93"/>
        <v>123</v>
      </c>
      <c r="DI21" s="90">
        <f t="shared" si="94"/>
        <v>3.2456920022533735</v>
      </c>
      <c r="DJ21" s="91">
        <f t="shared" si="95"/>
        <v>515.17765567083813</v>
      </c>
      <c r="DK21" s="91">
        <f t="shared" si="96"/>
        <v>402436.17750383192</v>
      </c>
      <c r="DL21" s="87">
        <f t="shared" si="97"/>
        <v>4024361775.0383191</v>
      </c>
      <c r="DM21" s="90">
        <f t="shared" si="98"/>
        <v>4.0243617750383187</v>
      </c>
      <c r="DN21" s="87">
        <f t="shared" si="99"/>
        <v>0.5</v>
      </c>
      <c r="DO21" s="87">
        <f t="shared" si="100"/>
        <v>11.74</v>
      </c>
      <c r="DP21" s="87">
        <f t="shared" si="101"/>
        <v>0.33600000000000002</v>
      </c>
      <c r="DQ21" s="90">
        <f t="shared" si="102"/>
        <v>1.1783399766300002</v>
      </c>
      <c r="DR21" s="91">
        <f t="shared" si="103"/>
        <v>0</v>
      </c>
      <c r="DS21" s="91">
        <f t="shared" si="104"/>
        <v>0</v>
      </c>
      <c r="DT21" s="91">
        <f t="shared" si="105"/>
        <v>17.534821080803574</v>
      </c>
      <c r="DU21" s="91">
        <f t="shared" si="106"/>
        <v>52.604463242410723</v>
      </c>
      <c r="DV21" s="87">
        <f t="shared" si="107"/>
        <v>0</v>
      </c>
      <c r="DW21" s="87">
        <f t="shared" si="108"/>
        <v>1</v>
      </c>
      <c r="DX21" s="92">
        <f t="shared" si="109"/>
        <v>10</v>
      </c>
      <c r="DY21" s="87">
        <f t="shared" si="110"/>
        <v>123</v>
      </c>
      <c r="DZ21" s="87">
        <f t="shared" si="111"/>
        <v>403.1139338200544</v>
      </c>
      <c r="EA21" s="87">
        <f t="shared" si="112"/>
        <v>0</v>
      </c>
      <c r="EB21" s="87">
        <f t="shared" si="113"/>
        <v>1.23E-2</v>
      </c>
      <c r="EC21" s="92">
        <f t="shared" si="114"/>
        <v>4.9499649832971324E-2</v>
      </c>
      <c r="ED21" s="87">
        <f t="shared" si="115"/>
        <v>49499.649832971321</v>
      </c>
      <c r="EE21" s="91">
        <f t="shared" si="116"/>
        <v>42.007952555881296</v>
      </c>
      <c r="EF21" s="93">
        <f t="shared" si="117"/>
        <v>105.41676044570301</v>
      </c>
      <c r="EG21" s="93">
        <f t="shared" si="118"/>
        <v>316.25028133710902</v>
      </c>
      <c r="EH21" s="91">
        <f t="shared" si="119"/>
        <v>8.1121057578585614</v>
      </c>
      <c r="EI21" s="91">
        <f t="shared" si="120"/>
        <v>0.30250863939647299</v>
      </c>
      <c r="EJ21" s="91">
        <f t="shared" si="121"/>
        <v>0</v>
      </c>
      <c r="EK21" s="91">
        <f t="shared" si="122"/>
        <v>37.919099919196427</v>
      </c>
      <c r="EL21" s="91">
        <f t="shared" si="123"/>
        <v>2.8494577575892777</v>
      </c>
    </row>
    <row r="22" spans="1:142" x14ac:dyDescent="0.4">
      <c r="A22" s="21">
        <v>72</v>
      </c>
      <c r="B22" s="21" t="s">
        <v>94</v>
      </c>
      <c r="C22" s="21">
        <v>52.988652999999999</v>
      </c>
      <c r="D22" s="21">
        <v>619792.9</v>
      </c>
      <c r="E22" s="21">
        <v>6081514</v>
      </c>
      <c r="F22" s="21">
        <v>753.5</v>
      </c>
      <c r="G22" s="21">
        <v>13</v>
      </c>
      <c r="H22" s="21">
        <v>0</v>
      </c>
      <c r="I22" s="21">
        <v>52</v>
      </c>
      <c r="J22" s="21">
        <v>0</v>
      </c>
      <c r="K22" s="21">
        <v>100</v>
      </c>
      <c r="L22" s="21">
        <v>2.8</v>
      </c>
      <c r="M22" s="21">
        <v>100</v>
      </c>
      <c r="N22" s="21">
        <v>0</v>
      </c>
      <c r="O22" s="35">
        <v>8</v>
      </c>
      <c r="P22" s="21">
        <v>90</v>
      </c>
      <c r="Q22" s="4">
        <v>781.16</v>
      </c>
      <c r="R22" s="4">
        <v>30.899999619999999</v>
      </c>
      <c r="S22" s="89">
        <f t="shared" si="0"/>
        <v>36.4</v>
      </c>
      <c r="T22" s="90">
        <f t="shared" si="1"/>
        <v>2.8192668236646963</v>
      </c>
      <c r="U22" s="91">
        <f t="shared" si="2"/>
        <v>479.0637072961631</v>
      </c>
      <c r="V22" s="91">
        <f t="shared" si="3"/>
        <v>374225.40559147077</v>
      </c>
      <c r="W22" s="87">
        <f t="shared" si="4"/>
        <v>3742254055.9147077</v>
      </c>
      <c r="X22" s="90">
        <f t="shared" si="5"/>
        <v>3.7422540559147075</v>
      </c>
      <c r="Y22" s="87">
        <f t="shared" si="6"/>
        <v>0.5</v>
      </c>
      <c r="Z22" s="87">
        <f t="shared" si="7"/>
        <v>11.74</v>
      </c>
      <c r="AA22" s="87">
        <f t="shared" si="8"/>
        <v>0.33600000000000002</v>
      </c>
      <c r="AB22" s="90">
        <f t="shared" si="9"/>
        <v>0.34871199308399997</v>
      </c>
      <c r="AC22" s="91">
        <f t="shared" si="10"/>
        <v>0</v>
      </c>
      <c r="AD22" s="91">
        <f t="shared" si="11"/>
        <v>0</v>
      </c>
      <c r="AE22" s="91">
        <f t="shared" si="12"/>
        <v>5.1891665637499989</v>
      </c>
      <c r="AF22" s="91">
        <f t="shared" si="13"/>
        <v>15.567499691249996</v>
      </c>
      <c r="AG22" s="87">
        <f t="shared" si="14"/>
        <v>0</v>
      </c>
      <c r="AH22" s="87">
        <f t="shared" si="15"/>
        <v>0</v>
      </c>
      <c r="AI22" s="92">
        <f t="shared" si="16"/>
        <v>8</v>
      </c>
      <c r="AJ22" s="87">
        <f t="shared" si="17"/>
        <v>36.4</v>
      </c>
      <c r="AK22" s="87">
        <f t="shared" si="18"/>
        <v>502.97075740294036</v>
      </c>
      <c r="AL22" s="87">
        <f t="shared" si="19"/>
        <v>0</v>
      </c>
      <c r="AM22" s="87">
        <f t="shared" si="20"/>
        <v>3.64E-3</v>
      </c>
      <c r="AN22" s="92">
        <f t="shared" si="21"/>
        <v>1.3621804763529536E-2</v>
      </c>
      <c r="AO22" s="87">
        <f t="shared" si="22"/>
        <v>13621.804763529535</v>
      </c>
      <c r="AP22" s="91">
        <f t="shared" si="23"/>
        <v>39.063195512889138</v>
      </c>
      <c r="AQ22" s="93">
        <f t="shared" si="24"/>
        <v>340.37998426801488</v>
      </c>
      <c r="AR22" s="93">
        <f t="shared" si="25"/>
        <v>1021.1399528040445</v>
      </c>
      <c r="AS22" s="91">
        <f t="shared" si="26"/>
        <v>0.19306139688078133</v>
      </c>
      <c r="AT22" s="91">
        <f t="shared" si="27"/>
        <v>4.71575026618314E-6</v>
      </c>
      <c r="AU22" s="91">
        <f t="shared" si="28"/>
        <v>0</v>
      </c>
      <c r="AV22" s="91">
        <f t="shared" si="29"/>
        <v>47.79948643625</v>
      </c>
      <c r="AW22" s="91">
        <f t="shared" si="30"/>
        <v>37.421153308750007</v>
      </c>
      <c r="AX22" s="95">
        <f t="shared" si="31"/>
        <v>72.8</v>
      </c>
      <c r="AY22" s="90">
        <f t="shared" si="32"/>
        <v>2.8192668236646963</v>
      </c>
      <c r="AZ22" s="91">
        <f t="shared" si="33"/>
        <v>479.0637072961631</v>
      </c>
      <c r="BA22" s="91">
        <f t="shared" si="34"/>
        <v>374225.40559147077</v>
      </c>
      <c r="BB22" s="87">
        <f t="shared" si="35"/>
        <v>3742254055.9147077</v>
      </c>
      <c r="BC22" s="90">
        <f t="shared" si="36"/>
        <v>3.7422540559147075</v>
      </c>
      <c r="BD22" s="87">
        <f t="shared" si="37"/>
        <v>0.5</v>
      </c>
      <c r="BE22" s="87">
        <f t="shared" si="38"/>
        <v>11.74</v>
      </c>
      <c r="BF22" s="87">
        <f t="shared" si="39"/>
        <v>0.33600000000000002</v>
      </c>
      <c r="BG22" s="90">
        <f t="shared" si="40"/>
        <v>0.69742398616799994</v>
      </c>
      <c r="BH22" s="91">
        <f t="shared" si="41"/>
        <v>0</v>
      </c>
      <c r="BI22" s="91">
        <f t="shared" si="42"/>
        <v>0</v>
      </c>
      <c r="BJ22" s="91">
        <f t="shared" si="43"/>
        <v>10.378333127499998</v>
      </c>
      <c r="BK22" s="91">
        <f t="shared" si="44"/>
        <v>31.134999382499991</v>
      </c>
      <c r="BL22" s="87">
        <f t="shared" si="45"/>
        <v>0</v>
      </c>
      <c r="BM22" s="87">
        <f t="shared" si="46"/>
        <v>0</v>
      </c>
      <c r="BN22" s="92">
        <f t="shared" si="47"/>
        <v>8</v>
      </c>
      <c r="BO22" s="87">
        <f t="shared" si="48"/>
        <v>72.8</v>
      </c>
      <c r="BP22" s="87">
        <f t="shared" si="49"/>
        <v>502.97075740294036</v>
      </c>
      <c r="BQ22" s="87">
        <f t="shared" si="50"/>
        <v>0</v>
      </c>
      <c r="BR22" s="87">
        <f t="shared" si="51"/>
        <v>7.28E-3</v>
      </c>
      <c r="BS22" s="92">
        <f t="shared" si="52"/>
        <v>2.7243609527059072E-2</v>
      </c>
      <c r="BT22" s="87">
        <f t="shared" si="53"/>
        <v>27243.60952705907</v>
      </c>
      <c r="BU22" s="91">
        <f t="shared" si="54"/>
        <v>39.063195512889138</v>
      </c>
      <c r="BV22" s="93">
        <f t="shared" si="55"/>
        <v>170.18999213400744</v>
      </c>
      <c r="BW22" s="93">
        <f t="shared" si="56"/>
        <v>510.56997640202223</v>
      </c>
      <c r="BX22" s="91">
        <f t="shared" si="57"/>
        <v>2.7461964773747432</v>
      </c>
      <c r="BY22" s="91">
        <f t="shared" si="58"/>
        <v>1.3572482257784351E-2</v>
      </c>
      <c r="BZ22" s="91">
        <f t="shared" si="59"/>
        <v>0</v>
      </c>
      <c r="CA22" s="91">
        <f t="shared" si="60"/>
        <v>42.6103198725</v>
      </c>
      <c r="CB22" s="91">
        <f t="shared" si="61"/>
        <v>21.853653617500008</v>
      </c>
      <c r="CC22" s="95">
        <f t="shared" si="62"/>
        <v>109.19999999999999</v>
      </c>
      <c r="CD22" s="90">
        <f t="shared" si="63"/>
        <v>2.8192668236646963</v>
      </c>
      <c r="CE22" s="91">
        <f t="shared" si="64"/>
        <v>479.0637072961631</v>
      </c>
      <c r="CF22" s="91">
        <f t="shared" si="65"/>
        <v>374225.40559147077</v>
      </c>
      <c r="CG22" s="87">
        <f t="shared" si="66"/>
        <v>3742254055.9147077</v>
      </c>
      <c r="CH22" s="90">
        <f t="shared" si="67"/>
        <v>3.7422540559147075</v>
      </c>
      <c r="CI22" s="87">
        <f t="shared" si="68"/>
        <v>0.5</v>
      </c>
      <c r="CJ22" s="87">
        <f t="shared" si="69"/>
        <v>11.74</v>
      </c>
      <c r="CK22" s="87">
        <f t="shared" si="70"/>
        <v>0.33600000000000002</v>
      </c>
      <c r="CL22" s="90">
        <f t="shared" si="71"/>
        <v>1.046135979252</v>
      </c>
      <c r="CM22" s="91">
        <f t="shared" si="72"/>
        <v>0</v>
      </c>
      <c r="CN22" s="91">
        <f t="shared" si="73"/>
        <v>0</v>
      </c>
      <c r="CO22" s="91">
        <f t="shared" si="74"/>
        <v>15.567499691249999</v>
      </c>
      <c r="CP22" s="91">
        <f t="shared" si="75"/>
        <v>46.702499073749998</v>
      </c>
      <c r="CQ22" s="87">
        <f t="shared" si="76"/>
        <v>0</v>
      </c>
      <c r="CR22" s="87">
        <f t="shared" si="77"/>
        <v>0</v>
      </c>
      <c r="CS22" s="92">
        <f t="shared" si="78"/>
        <v>8</v>
      </c>
      <c r="CT22" s="87">
        <f t="shared" si="79"/>
        <v>109.19999999999999</v>
      </c>
      <c r="CU22" s="87">
        <f t="shared" si="80"/>
        <v>502.97075740294036</v>
      </c>
      <c r="CV22" s="87">
        <f t="shared" si="81"/>
        <v>0</v>
      </c>
      <c r="CW22" s="87">
        <f t="shared" si="82"/>
        <v>1.0919999999999999E-2</v>
      </c>
      <c r="CX22" s="92">
        <f t="shared" si="83"/>
        <v>4.0865414290588604E-2</v>
      </c>
      <c r="CY22" s="87">
        <f t="shared" si="84"/>
        <v>40865.414290588604</v>
      </c>
      <c r="CZ22" s="91">
        <f t="shared" si="85"/>
        <v>39.063195512889131</v>
      </c>
      <c r="DA22" s="93">
        <f t="shared" si="86"/>
        <v>113.45999475600492</v>
      </c>
      <c r="DB22" s="93">
        <f t="shared" si="87"/>
        <v>340.37998426801482</v>
      </c>
      <c r="DC22" s="91">
        <f t="shared" si="88"/>
        <v>6.6539110810502775</v>
      </c>
      <c r="DD22" s="91">
        <f t="shared" si="89"/>
        <v>0.19306139688078144</v>
      </c>
      <c r="DE22" s="91">
        <f t="shared" si="90"/>
        <v>0</v>
      </c>
      <c r="DF22" s="91">
        <f t="shared" si="91"/>
        <v>37.42115330875</v>
      </c>
      <c r="DG22" s="91">
        <f t="shared" si="92"/>
        <v>6.2861539262500017</v>
      </c>
      <c r="DH22" s="95">
        <f t="shared" si="93"/>
        <v>145.6</v>
      </c>
      <c r="DI22" s="90">
        <f t="shared" si="94"/>
        <v>2.8192668236646963</v>
      </c>
      <c r="DJ22" s="91">
        <f t="shared" si="95"/>
        <v>479.0637072961631</v>
      </c>
      <c r="DK22" s="91">
        <f t="shared" si="96"/>
        <v>374225.40559147077</v>
      </c>
      <c r="DL22" s="87">
        <f t="shared" si="97"/>
        <v>3742254055.9147077</v>
      </c>
      <c r="DM22" s="90">
        <f t="shared" si="98"/>
        <v>3.7422540559147075</v>
      </c>
      <c r="DN22" s="87">
        <f t="shared" si="99"/>
        <v>0.5</v>
      </c>
      <c r="DO22" s="87">
        <f t="shared" si="100"/>
        <v>11.74</v>
      </c>
      <c r="DP22" s="87">
        <f t="shared" si="101"/>
        <v>0.33600000000000002</v>
      </c>
      <c r="DQ22" s="90">
        <f t="shared" si="102"/>
        <v>1.3948479723359999</v>
      </c>
      <c r="DR22" s="91">
        <f t="shared" si="103"/>
        <v>0</v>
      </c>
      <c r="DS22" s="91">
        <f t="shared" si="104"/>
        <v>0.20790214513599964</v>
      </c>
      <c r="DT22" s="91">
        <f t="shared" si="105"/>
        <v>20.756666254999995</v>
      </c>
      <c r="DU22" s="91">
        <f t="shared" si="106"/>
        <v>62.269998764999983</v>
      </c>
      <c r="DV22" s="87">
        <f t="shared" si="107"/>
        <v>0</v>
      </c>
      <c r="DW22" s="87">
        <f t="shared" si="108"/>
        <v>0</v>
      </c>
      <c r="DX22" s="92">
        <f t="shared" si="109"/>
        <v>8</v>
      </c>
      <c r="DY22" s="87">
        <f t="shared" si="110"/>
        <v>145.6</v>
      </c>
      <c r="DZ22" s="87">
        <f t="shared" si="111"/>
        <v>502.97075740294036</v>
      </c>
      <c r="EA22" s="87">
        <f t="shared" si="112"/>
        <v>0</v>
      </c>
      <c r="EB22" s="87">
        <f t="shared" si="113"/>
        <v>1.456E-2</v>
      </c>
      <c r="EC22" s="92">
        <f t="shared" si="114"/>
        <v>5.4487219054118144E-2</v>
      </c>
      <c r="ED22" s="87">
        <f t="shared" si="115"/>
        <v>54487.219054118141</v>
      </c>
      <c r="EE22" s="91">
        <f t="shared" si="116"/>
        <v>39.063195512889138</v>
      </c>
      <c r="EF22" s="93">
        <f t="shared" si="117"/>
        <v>85.09499606700372</v>
      </c>
      <c r="EG22" s="93">
        <f t="shared" si="118"/>
        <v>255.28498820101112</v>
      </c>
      <c r="EH22" s="91">
        <f t="shared" si="119"/>
        <v>10.357374663132401</v>
      </c>
      <c r="EI22" s="91">
        <f t="shared" si="120"/>
        <v>0.72813771227086499</v>
      </c>
      <c r="EJ22" s="91">
        <f t="shared" si="121"/>
        <v>0</v>
      </c>
      <c r="EK22" s="91">
        <f t="shared" si="122"/>
        <v>32.231986745</v>
      </c>
      <c r="EL22" s="91">
        <f t="shared" si="123"/>
        <v>0</v>
      </c>
    </row>
    <row r="23" spans="1:142" x14ac:dyDescent="0.4">
      <c r="A23" s="21">
        <v>123</v>
      </c>
      <c r="B23" s="21" t="s">
        <v>94</v>
      </c>
      <c r="C23" s="21">
        <v>63.482765999999998</v>
      </c>
      <c r="D23" s="21">
        <v>620528.4</v>
      </c>
      <c r="E23" s="21">
        <v>6082716.4000000004</v>
      </c>
      <c r="F23" s="21">
        <v>754.3</v>
      </c>
      <c r="G23" s="21">
        <v>13</v>
      </c>
      <c r="H23" s="21">
        <v>0</v>
      </c>
      <c r="I23" s="21">
        <v>38.299999999999997</v>
      </c>
      <c r="J23" s="21">
        <v>0</v>
      </c>
      <c r="K23" s="21">
        <v>100</v>
      </c>
      <c r="L23" s="21">
        <v>3.2</v>
      </c>
      <c r="M23" s="21">
        <v>100</v>
      </c>
      <c r="N23" s="21">
        <v>0</v>
      </c>
      <c r="O23" s="35">
        <v>12</v>
      </c>
      <c r="P23" s="21">
        <v>90</v>
      </c>
      <c r="Q23" s="4">
        <v>781.16</v>
      </c>
      <c r="R23" s="4">
        <v>30.899999619999999</v>
      </c>
      <c r="S23" s="89">
        <f t="shared" si="0"/>
        <v>30.64</v>
      </c>
      <c r="T23" s="90">
        <f t="shared" si="1"/>
        <v>2.8192668236646963</v>
      </c>
      <c r="U23" s="91">
        <f t="shared" si="2"/>
        <v>479.0637072961631</v>
      </c>
      <c r="V23" s="91">
        <f t="shared" si="3"/>
        <v>374225.40559147077</v>
      </c>
      <c r="W23" s="87">
        <f t="shared" si="4"/>
        <v>3742254055.9147077</v>
      </c>
      <c r="X23" s="90">
        <f t="shared" si="5"/>
        <v>3.7422540559147075</v>
      </c>
      <c r="Y23" s="87">
        <f t="shared" si="6"/>
        <v>0.5</v>
      </c>
      <c r="Z23" s="87">
        <f t="shared" si="7"/>
        <v>11.74</v>
      </c>
      <c r="AA23" s="87">
        <f t="shared" si="8"/>
        <v>0.33600000000000002</v>
      </c>
      <c r="AB23" s="90">
        <f t="shared" si="9"/>
        <v>0.29353119417840001</v>
      </c>
      <c r="AC23" s="91">
        <f t="shared" si="10"/>
        <v>0</v>
      </c>
      <c r="AD23" s="91">
        <f t="shared" si="11"/>
        <v>0</v>
      </c>
      <c r="AE23" s="91">
        <f t="shared" si="12"/>
        <v>4.3680237228928567</v>
      </c>
      <c r="AF23" s="91">
        <f t="shared" si="13"/>
        <v>13.104071168678569</v>
      </c>
      <c r="AG23" s="87">
        <f t="shared" si="14"/>
        <v>0</v>
      </c>
      <c r="AH23" s="87">
        <f t="shared" si="15"/>
        <v>0</v>
      </c>
      <c r="AI23" s="92">
        <f t="shared" si="16"/>
        <v>12</v>
      </c>
      <c r="AJ23" s="87">
        <f t="shared" si="17"/>
        <v>30.64</v>
      </c>
      <c r="AK23" s="87">
        <f t="shared" si="18"/>
        <v>336.68140413208914</v>
      </c>
      <c r="AL23" s="87">
        <f t="shared" si="19"/>
        <v>0</v>
      </c>
      <c r="AM23" s="87">
        <f t="shared" si="20"/>
        <v>3.0639999999999999E-3</v>
      </c>
      <c r="AN23" s="92">
        <f t="shared" si="21"/>
        <v>1.1466266427322663E-2</v>
      </c>
      <c r="AO23" s="87">
        <f t="shared" si="22"/>
        <v>11466.266427322662</v>
      </c>
      <c r="AP23" s="91">
        <f t="shared" si="23"/>
        <v>39.063195512889124</v>
      </c>
      <c r="AQ23" s="93">
        <f t="shared" si="24"/>
        <v>484.45071140743562</v>
      </c>
      <c r="AR23" s="93">
        <f t="shared" si="25"/>
        <v>1453.3521342223071</v>
      </c>
      <c r="AS23" s="91">
        <f t="shared" si="26"/>
        <v>2.0399388267110651E-2</v>
      </c>
      <c r="AT23" s="91">
        <f t="shared" si="27"/>
        <v>5.5630875870834132E-9</v>
      </c>
      <c r="AU23" s="91">
        <f t="shared" si="28"/>
        <v>0</v>
      </c>
      <c r="AV23" s="91">
        <f t="shared" si="29"/>
        <v>59.11474227710714</v>
      </c>
      <c r="AW23" s="91">
        <f t="shared" si="30"/>
        <v>50.378694831321425</v>
      </c>
      <c r="AX23" s="95">
        <f t="shared" si="31"/>
        <v>61.28</v>
      </c>
      <c r="AY23" s="90">
        <f t="shared" si="32"/>
        <v>2.8192668236646963</v>
      </c>
      <c r="AZ23" s="91">
        <f t="shared" si="33"/>
        <v>479.0637072961631</v>
      </c>
      <c r="BA23" s="91">
        <f t="shared" si="34"/>
        <v>374225.40559147077</v>
      </c>
      <c r="BB23" s="87">
        <f t="shared" si="35"/>
        <v>3742254055.9147077</v>
      </c>
      <c r="BC23" s="90">
        <f t="shared" si="36"/>
        <v>3.7422540559147075</v>
      </c>
      <c r="BD23" s="87">
        <f t="shared" si="37"/>
        <v>0.5</v>
      </c>
      <c r="BE23" s="87">
        <f t="shared" si="38"/>
        <v>11.74</v>
      </c>
      <c r="BF23" s="87">
        <f t="shared" si="39"/>
        <v>0.33600000000000002</v>
      </c>
      <c r="BG23" s="90">
        <f t="shared" si="40"/>
        <v>0.58706238835680002</v>
      </c>
      <c r="BH23" s="91">
        <f t="shared" si="41"/>
        <v>0</v>
      </c>
      <c r="BI23" s="91">
        <f t="shared" si="42"/>
        <v>0</v>
      </c>
      <c r="BJ23" s="91">
        <f t="shared" si="43"/>
        <v>8.7360474457857134</v>
      </c>
      <c r="BK23" s="91">
        <f t="shared" si="44"/>
        <v>26.208142337357138</v>
      </c>
      <c r="BL23" s="87">
        <f t="shared" si="45"/>
        <v>0</v>
      </c>
      <c r="BM23" s="87">
        <f t="shared" si="46"/>
        <v>0</v>
      </c>
      <c r="BN23" s="92">
        <f t="shared" si="47"/>
        <v>12</v>
      </c>
      <c r="BO23" s="87">
        <f t="shared" si="48"/>
        <v>61.28</v>
      </c>
      <c r="BP23" s="87">
        <f t="shared" si="49"/>
        <v>336.68140413208914</v>
      </c>
      <c r="BQ23" s="87">
        <f t="shared" si="50"/>
        <v>0</v>
      </c>
      <c r="BR23" s="87">
        <f t="shared" si="51"/>
        <v>6.1279999999999998E-3</v>
      </c>
      <c r="BS23" s="92">
        <f t="shared" si="52"/>
        <v>2.2932532854645325E-2</v>
      </c>
      <c r="BT23" s="87">
        <f t="shared" si="53"/>
        <v>22932.532854645324</v>
      </c>
      <c r="BU23" s="91">
        <f t="shared" si="54"/>
        <v>39.063195512889124</v>
      </c>
      <c r="BV23" s="93">
        <f t="shared" si="55"/>
        <v>242.22535570371781</v>
      </c>
      <c r="BW23" s="93">
        <f t="shared" si="56"/>
        <v>726.67606711115354</v>
      </c>
      <c r="BX23" s="91">
        <f t="shared" si="57"/>
        <v>0.89267311610772726</v>
      </c>
      <c r="BY23" s="91">
        <f t="shared" si="58"/>
        <v>4.6616732840211569E-4</v>
      </c>
      <c r="BZ23" s="91">
        <f t="shared" si="59"/>
        <v>0</v>
      </c>
      <c r="CA23" s="91">
        <f t="shared" si="60"/>
        <v>54.746718554214283</v>
      </c>
      <c r="CB23" s="91">
        <f t="shared" si="61"/>
        <v>37.27462366264286</v>
      </c>
      <c r="CC23" s="95">
        <f t="shared" si="62"/>
        <v>91.92</v>
      </c>
      <c r="CD23" s="90">
        <f t="shared" si="63"/>
        <v>2.8192668236646963</v>
      </c>
      <c r="CE23" s="91">
        <f t="shared" si="64"/>
        <v>479.0637072961631</v>
      </c>
      <c r="CF23" s="91">
        <f t="shared" si="65"/>
        <v>374225.40559147077</v>
      </c>
      <c r="CG23" s="87">
        <f t="shared" si="66"/>
        <v>3742254055.9147077</v>
      </c>
      <c r="CH23" s="90">
        <f t="shared" si="67"/>
        <v>3.7422540559147075</v>
      </c>
      <c r="CI23" s="87">
        <f t="shared" si="68"/>
        <v>0.5</v>
      </c>
      <c r="CJ23" s="87">
        <f t="shared" si="69"/>
        <v>11.74</v>
      </c>
      <c r="CK23" s="87">
        <f t="shared" si="70"/>
        <v>0.33600000000000002</v>
      </c>
      <c r="CL23" s="90">
        <f t="shared" si="71"/>
        <v>0.88059358253520004</v>
      </c>
      <c r="CM23" s="91">
        <f t="shared" si="72"/>
        <v>0</v>
      </c>
      <c r="CN23" s="91">
        <f t="shared" si="73"/>
        <v>0</v>
      </c>
      <c r="CO23" s="91">
        <f t="shared" si="74"/>
        <v>13.104071168678571</v>
      </c>
      <c r="CP23" s="91">
        <f t="shared" si="75"/>
        <v>39.312213506035711</v>
      </c>
      <c r="CQ23" s="87">
        <f t="shared" si="76"/>
        <v>0</v>
      </c>
      <c r="CR23" s="87">
        <f t="shared" si="77"/>
        <v>0</v>
      </c>
      <c r="CS23" s="92">
        <f t="shared" si="78"/>
        <v>12</v>
      </c>
      <c r="CT23" s="87">
        <f t="shared" si="79"/>
        <v>91.92</v>
      </c>
      <c r="CU23" s="87">
        <f t="shared" si="80"/>
        <v>336.68140413208914</v>
      </c>
      <c r="CV23" s="87">
        <f t="shared" si="81"/>
        <v>0</v>
      </c>
      <c r="CW23" s="87">
        <f t="shared" si="82"/>
        <v>9.1920000000000005E-3</v>
      </c>
      <c r="CX23" s="92">
        <f t="shared" si="83"/>
        <v>3.4398799281967991E-2</v>
      </c>
      <c r="CY23" s="87">
        <f t="shared" si="84"/>
        <v>34398.799281967986</v>
      </c>
      <c r="CZ23" s="91">
        <f t="shared" si="85"/>
        <v>39.063195512889124</v>
      </c>
      <c r="DA23" s="93">
        <f t="shared" si="86"/>
        <v>161.48357046914521</v>
      </c>
      <c r="DB23" s="93">
        <f t="shared" si="87"/>
        <v>484.45071140743562</v>
      </c>
      <c r="DC23" s="91">
        <f t="shared" si="88"/>
        <v>3.1457018630305744</v>
      </c>
      <c r="DD23" s="91">
        <f t="shared" si="89"/>
        <v>2.0399388267110651E-2</v>
      </c>
      <c r="DE23" s="91">
        <f t="shared" si="90"/>
        <v>0</v>
      </c>
      <c r="DF23" s="91">
        <f t="shared" si="91"/>
        <v>50.378694831321425</v>
      </c>
      <c r="DG23" s="91">
        <f t="shared" si="92"/>
        <v>24.170552493964287</v>
      </c>
      <c r="DH23" s="95">
        <f t="shared" si="93"/>
        <v>122.56</v>
      </c>
      <c r="DI23" s="90">
        <f t="shared" si="94"/>
        <v>2.8192668236646963</v>
      </c>
      <c r="DJ23" s="91">
        <f t="shared" si="95"/>
        <v>479.0637072961631</v>
      </c>
      <c r="DK23" s="91">
        <f t="shared" si="96"/>
        <v>374225.40559147077</v>
      </c>
      <c r="DL23" s="87">
        <f t="shared" si="97"/>
        <v>3742254055.9147077</v>
      </c>
      <c r="DM23" s="90">
        <f t="shared" si="98"/>
        <v>3.7422540559147075</v>
      </c>
      <c r="DN23" s="87">
        <f t="shared" si="99"/>
        <v>0.5</v>
      </c>
      <c r="DO23" s="87">
        <f t="shared" si="100"/>
        <v>11.74</v>
      </c>
      <c r="DP23" s="87">
        <f t="shared" si="101"/>
        <v>0.33600000000000002</v>
      </c>
      <c r="DQ23" s="90">
        <f t="shared" si="102"/>
        <v>1.1741247767136</v>
      </c>
      <c r="DR23" s="91">
        <f t="shared" si="103"/>
        <v>0</v>
      </c>
      <c r="DS23" s="91">
        <f t="shared" si="104"/>
        <v>0</v>
      </c>
      <c r="DT23" s="91">
        <f t="shared" si="105"/>
        <v>17.472094891571427</v>
      </c>
      <c r="DU23" s="91">
        <f t="shared" si="106"/>
        <v>52.416284674714277</v>
      </c>
      <c r="DV23" s="87">
        <f t="shared" si="107"/>
        <v>0</v>
      </c>
      <c r="DW23" s="87">
        <f t="shared" si="108"/>
        <v>0</v>
      </c>
      <c r="DX23" s="92">
        <f t="shared" si="109"/>
        <v>12</v>
      </c>
      <c r="DY23" s="87">
        <f t="shared" si="110"/>
        <v>122.56</v>
      </c>
      <c r="DZ23" s="87">
        <f t="shared" si="111"/>
        <v>336.68140413208914</v>
      </c>
      <c r="EA23" s="87">
        <f t="shared" si="112"/>
        <v>0</v>
      </c>
      <c r="EB23" s="87">
        <f t="shared" si="113"/>
        <v>1.2256E-2</v>
      </c>
      <c r="EC23" s="92">
        <f t="shared" si="114"/>
        <v>4.5865065709290651E-2</v>
      </c>
      <c r="ED23" s="87">
        <f t="shared" si="115"/>
        <v>45865.065709290648</v>
      </c>
      <c r="EE23" s="91">
        <f t="shared" si="116"/>
        <v>39.063195512889124</v>
      </c>
      <c r="EF23" s="93">
        <f t="shared" si="117"/>
        <v>121.1126778518589</v>
      </c>
      <c r="EG23" s="93">
        <f t="shared" si="118"/>
        <v>363.33803355557677</v>
      </c>
      <c r="EH23" s="91">
        <f t="shared" si="119"/>
        <v>5.9051388183188482</v>
      </c>
      <c r="EI23" s="91">
        <f t="shared" si="120"/>
        <v>0.13494437924972288</v>
      </c>
      <c r="EJ23" s="91">
        <f t="shared" si="121"/>
        <v>0</v>
      </c>
      <c r="EK23" s="91">
        <f t="shared" si="122"/>
        <v>46.010671108428568</v>
      </c>
      <c r="EL23" s="91">
        <f t="shared" si="123"/>
        <v>11.066481325285721</v>
      </c>
    </row>
    <row r="24" spans="1:142" x14ac:dyDescent="0.4">
      <c r="A24" s="21">
        <v>70</v>
      </c>
      <c r="B24" s="21" t="s">
        <v>94</v>
      </c>
      <c r="C24" s="21">
        <v>69.882838000000007</v>
      </c>
      <c r="D24" s="21">
        <v>619730.69999999995</v>
      </c>
      <c r="E24" s="21">
        <v>6081493.4000000004</v>
      </c>
      <c r="F24" s="21">
        <v>755</v>
      </c>
      <c r="G24" s="21">
        <v>7</v>
      </c>
      <c r="H24" s="21">
        <v>0</v>
      </c>
      <c r="I24" s="21">
        <v>22.29</v>
      </c>
      <c r="J24" s="21">
        <v>0</v>
      </c>
      <c r="K24" s="21">
        <v>100</v>
      </c>
      <c r="L24" s="21">
        <v>2.2999999999999998</v>
      </c>
      <c r="M24" s="21">
        <v>100</v>
      </c>
      <c r="N24" s="21">
        <v>1</v>
      </c>
      <c r="O24" s="35">
        <v>12</v>
      </c>
      <c r="P24" s="21">
        <v>90</v>
      </c>
      <c r="Q24" s="4">
        <v>781.16</v>
      </c>
      <c r="R24" s="4">
        <v>30.899999619999999</v>
      </c>
      <c r="S24" s="89">
        <f t="shared" si="0"/>
        <v>12.816749999999999</v>
      </c>
      <c r="T24" s="90">
        <f t="shared" si="1"/>
        <v>2.1392813062306222</v>
      </c>
      <c r="U24" s="91">
        <f t="shared" si="2"/>
        <v>421.47573382467135</v>
      </c>
      <c r="V24" s="91">
        <f t="shared" si="3"/>
        <v>329239.98423448025</v>
      </c>
      <c r="W24" s="87">
        <f t="shared" si="4"/>
        <v>3292399842.3448024</v>
      </c>
      <c r="X24" s="90">
        <f t="shared" si="5"/>
        <v>3.2923998423448024</v>
      </c>
      <c r="Y24" s="87">
        <f t="shared" si="6"/>
        <v>0.5</v>
      </c>
      <c r="Z24" s="87">
        <f t="shared" si="7"/>
        <v>11.74</v>
      </c>
      <c r="AA24" s="87">
        <f t="shared" si="8"/>
        <v>0.33600000000000002</v>
      </c>
      <c r="AB24" s="90">
        <f t="shared" si="9"/>
        <v>0.12278446256481748</v>
      </c>
      <c r="AC24" s="91">
        <f t="shared" si="10"/>
        <v>0</v>
      </c>
      <c r="AD24" s="91">
        <f t="shared" si="11"/>
        <v>0</v>
      </c>
      <c r="AE24" s="91">
        <f t="shared" si="12"/>
        <v>1.8271497405478789</v>
      </c>
      <c r="AF24" s="91">
        <f t="shared" si="13"/>
        <v>5.4814492216436363</v>
      </c>
      <c r="AG24" s="87">
        <f t="shared" si="14"/>
        <v>0</v>
      </c>
      <c r="AH24" s="87">
        <f t="shared" si="15"/>
        <v>1</v>
      </c>
      <c r="AI24" s="92">
        <f t="shared" si="16"/>
        <v>12</v>
      </c>
      <c r="AJ24" s="87">
        <f t="shared" si="17"/>
        <v>12.816749999999999</v>
      </c>
      <c r="AK24" s="87">
        <f t="shared" si="18"/>
        <v>336.68140413208914</v>
      </c>
      <c r="AL24" s="87">
        <f t="shared" si="19"/>
        <v>0</v>
      </c>
      <c r="AM24" s="87">
        <f t="shared" si="20"/>
        <v>1.2816749999999999E-3</v>
      </c>
      <c r="AN24" s="92">
        <f t="shared" si="21"/>
        <v>4.2197865679372741E-3</v>
      </c>
      <c r="AO24" s="87">
        <f t="shared" si="22"/>
        <v>4219.7865679372744</v>
      </c>
      <c r="AP24" s="91">
        <f t="shared" si="23"/>
        <v>34.367431186251792</v>
      </c>
      <c r="AQ24" s="93">
        <f t="shared" si="24"/>
        <v>1274.8971152385377</v>
      </c>
      <c r="AR24" s="93">
        <f t="shared" si="25"/>
        <v>3824.6913457156134</v>
      </c>
      <c r="AS24" s="91">
        <f t="shared" si="26"/>
        <v>7.9200307967812576E-8</v>
      </c>
      <c r="AT24" s="91">
        <f t="shared" si="27"/>
        <v>4.2061665713171757E-25</v>
      </c>
      <c r="AU24" s="91">
        <f t="shared" si="28"/>
        <v>0</v>
      </c>
      <c r="AV24" s="91">
        <f t="shared" si="29"/>
        <v>68.055688259452126</v>
      </c>
      <c r="AW24" s="91">
        <f t="shared" si="30"/>
        <v>64.401388778356363</v>
      </c>
      <c r="AX24" s="95">
        <f t="shared" si="31"/>
        <v>25.633499999999998</v>
      </c>
      <c r="AY24" s="90">
        <f t="shared" si="32"/>
        <v>2.1392813062306222</v>
      </c>
      <c r="AZ24" s="91">
        <f t="shared" si="33"/>
        <v>421.47573382467135</v>
      </c>
      <c r="BA24" s="91">
        <f t="shared" si="34"/>
        <v>329239.98423448025</v>
      </c>
      <c r="BB24" s="87">
        <f t="shared" si="35"/>
        <v>3292399842.3448024</v>
      </c>
      <c r="BC24" s="90">
        <f t="shared" si="36"/>
        <v>3.2923998423448024</v>
      </c>
      <c r="BD24" s="87">
        <f t="shared" si="37"/>
        <v>0.5</v>
      </c>
      <c r="BE24" s="87">
        <f t="shared" si="38"/>
        <v>11.74</v>
      </c>
      <c r="BF24" s="87">
        <f t="shared" si="39"/>
        <v>0.33600000000000002</v>
      </c>
      <c r="BG24" s="90">
        <f t="shared" si="40"/>
        <v>0.24556892512963496</v>
      </c>
      <c r="BH24" s="91">
        <f t="shared" si="41"/>
        <v>0</v>
      </c>
      <c r="BI24" s="91">
        <f t="shared" si="42"/>
        <v>0</v>
      </c>
      <c r="BJ24" s="91">
        <f t="shared" si="43"/>
        <v>3.6542994810957579</v>
      </c>
      <c r="BK24" s="91">
        <f t="shared" si="44"/>
        <v>10.962898443287273</v>
      </c>
      <c r="BL24" s="87">
        <f t="shared" si="45"/>
        <v>0</v>
      </c>
      <c r="BM24" s="87">
        <f t="shared" si="46"/>
        <v>1</v>
      </c>
      <c r="BN24" s="92">
        <f t="shared" si="47"/>
        <v>12</v>
      </c>
      <c r="BO24" s="87">
        <f t="shared" si="48"/>
        <v>25.633499999999998</v>
      </c>
      <c r="BP24" s="87">
        <f t="shared" si="49"/>
        <v>336.68140413208914</v>
      </c>
      <c r="BQ24" s="87">
        <f t="shared" si="50"/>
        <v>0</v>
      </c>
      <c r="BR24" s="87">
        <f t="shared" si="51"/>
        <v>2.5633499999999998E-3</v>
      </c>
      <c r="BS24" s="92">
        <f t="shared" si="52"/>
        <v>8.4395731358745483E-3</v>
      </c>
      <c r="BT24" s="87">
        <f t="shared" si="53"/>
        <v>8439.5731358745488</v>
      </c>
      <c r="BU24" s="91">
        <f t="shared" si="54"/>
        <v>34.367431186251792</v>
      </c>
      <c r="BV24" s="93">
        <f t="shared" si="55"/>
        <v>637.44855761926885</v>
      </c>
      <c r="BW24" s="93">
        <f t="shared" si="56"/>
        <v>1912.3456728578067</v>
      </c>
      <c r="BX24" s="91">
        <f t="shared" si="57"/>
        <v>1.6498215461115025E-3</v>
      </c>
      <c r="BY24" s="91">
        <f t="shared" si="58"/>
        <v>3.8020407703975988E-12</v>
      </c>
      <c r="BZ24" s="91">
        <f t="shared" si="59"/>
        <v>0</v>
      </c>
      <c r="CA24" s="91">
        <f t="shared" si="60"/>
        <v>66.228538518904244</v>
      </c>
      <c r="CB24" s="91">
        <f t="shared" si="61"/>
        <v>58.919939556712734</v>
      </c>
      <c r="CC24" s="95">
        <f t="shared" si="62"/>
        <v>38.450249999999997</v>
      </c>
      <c r="CD24" s="90">
        <f t="shared" si="63"/>
        <v>2.1392813062306222</v>
      </c>
      <c r="CE24" s="91">
        <f t="shared" si="64"/>
        <v>421.47573382467135</v>
      </c>
      <c r="CF24" s="91">
        <f t="shared" si="65"/>
        <v>329239.98423448025</v>
      </c>
      <c r="CG24" s="87">
        <f t="shared" si="66"/>
        <v>3292399842.3448024</v>
      </c>
      <c r="CH24" s="90">
        <f t="shared" si="67"/>
        <v>3.2923998423448024</v>
      </c>
      <c r="CI24" s="87">
        <f t="shared" si="68"/>
        <v>0.5</v>
      </c>
      <c r="CJ24" s="87">
        <f t="shared" si="69"/>
        <v>11.74</v>
      </c>
      <c r="CK24" s="87">
        <f t="shared" si="70"/>
        <v>0.33600000000000002</v>
      </c>
      <c r="CL24" s="90">
        <f t="shared" si="71"/>
        <v>0.36835338769445247</v>
      </c>
      <c r="CM24" s="91">
        <f t="shared" si="72"/>
        <v>0</v>
      </c>
      <c r="CN24" s="91">
        <f t="shared" si="73"/>
        <v>0</v>
      </c>
      <c r="CO24" s="91">
        <f t="shared" si="74"/>
        <v>5.4814492216436372</v>
      </c>
      <c r="CP24" s="91">
        <f t="shared" si="75"/>
        <v>16.444347664930913</v>
      </c>
      <c r="CQ24" s="87">
        <f t="shared" si="76"/>
        <v>0</v>
      </c>
      <c r="CR24" s="87">
        <f t="shared" si="77"/>
        <v>1</v>
      </c>
      <c r="CS24" s="92">
        <f t="shared" si="78"/>
        <v>12</v>
      </c>
      <c r="CT24" s="87">
        <f t="shared" si="79"/>
        <v>38.450249999999997</v>
      </c>
      <c r="CU24" s="87">
        <f t="shared" si="80"/>
        <v>336.68140413208914</v>
      </c>
      <c r="CV24" s="87">
        <f t="shared" si="81"/>
        <v>0</v>
      </c>
      <c r="CW24" s="87">
        <f t="shared" si="82"/>
        <v>3.8450249999999997E-3</v>
      </c>
      <c r="CX24" s="92">
        <f t="shared" si="83"/>
        <v>1.2659359703811823E-2</v>
      </c>
      <c r="CY24" s="87">
        <f t="shared" si="84"/>
        <v>12659.359703811824</v>
      </c>
      <c r="CZ24" s="91">
        <f t="shared" si="85"/>
        <v>34.367431186251792</v>
      </c>
      <c r="DA24" s="93">
        <f t="shared" si="86"/>
        <v>424.96570507951253</v>
      </c>
      <c r="DB24" s="93">
        <f t="shared" si="87"/>
        <v>1274.8971152385377</v>
      </c>
      <c r="DC24" s="91">
        <f t="shared" si="88"/>
        <v>4.5394893820678898E-2</v>
      </c>
      <c r="DD24" s="91">
        <f t="shared" si="89"/>
        <v>7.9200307967812576E-8</v>
      </c>
      <c r="DE24" s="91">
        <f t="shared" si="90"/>
        <v>0</v>
      </c>
      <c r="DF24" s="91">
        <f t="shared" si="91"/>
        <v>64.401388778356363</v>
      </c>
      <c r="DG24" s="91">
        <f t="shared" si="92"/>
        <v>53.438490335069091</v>
      </c>
      <c r="DH24" s="95">
        <f t="shared" si="93"/>
        <v>51.266999999999996</v>
      </c>
      <c r="DI24" s="90">
        <f t="shared" si="94"/>
        <v>2.1392813062306222</v>
      </c>
      <c r="DJ24" s="91">
        <f t="shared" si="95"/>
        <v>421.47573382467135</v>
      </c>
      <c r="DK24" s="91">
        <f t="shared" si="96"/>
        <v>329239.98423448025</v>
      </c>
      <c r="DL24" s="87">
        <f t="shared" si="97"/>
        <v>3292399842.3448024</v>
      </c>
      <c r="DM24" s="90">
        <f t="shared" si="98"/>
        <v>3.2923998423448024</v>
      </c>
      <c r="DN24" s="87">
        <f t="shared" si="99"/>
        <v>0.5</v>
      </c>
      <c r="DO24" s="87">
        <f t="shared" si="100"/>
        <v>11.74</v>
      </c>
      <c r="DP24" s="87">
        <f t="shared" si="101"/>
        <v>0.33600000000000002</v>
      </c>
      <c r="DQ24" s="90">
        <f t="shared" si="102"/>
        <v>0.49113785025926993</v>
      </c>
      <c r="DR24" s="91">
        <f t="shared" si="103"/>
        <v>0</v>
      </c>
      <c r="DS24" s="91">
        <f t="shared" si="104"/>
        <v>0</v>
      </c>
      <c r="DT24" s="91">
        <f t="shared" si="105"/>
        <v>7.3085989621915157</v>
      </c>
      <c r="DU24" s="91">
        <f t="shared" si="106"/>
        <v>21.925796886574545</v>
      </c>
      <c r="DV24" s="87">
        <f t="shared" si="107"/>
        <v>0</v>
      </c>
      <c r="DW24" s="87">
        <f t="shared" si="108"/>
        <v>1</v>
      </c>
      <c r="DX24" s="92">
        <f t="shared" si="109"/>
        <v>12</v>
      </c>
      <c r="DY24" s="87">
        <f t="shared" si="110"/>
        <v>51.266999999999996</v>
      </c>
      <c r="DZ24" s="87">
        <f t="shared" si="111"/>
        <v>336.68140413208914</v>
      </c>
      <c r="EA24" s="87">
        <f t="shared" si="112"/>
        <v>0</v>
      </c>
      <c r="EB24" s="87">
        <f t="shared" si="113"/>
        <v>5.1266999999999997E-3</v>
      </c>
      <c r="EC24" s="92">
        <f t="shared" si="114"/>
        <v>1.6879146271749097E-2</v>
      </c>
      <c r="ED24" s="87">
        <f t="shared" si="115"/>
        <v>16879.146271749098</v>
      </c>
      <c r="EE24" s="91">
        <f t="shared" si="116"/>
        <v>34.367431186251792</v>
      </c>
      <c r="EF24" s="93">
        <f t="shared" si="117"/>
        <v>318.72427880963443</v>
      </c>
      <c r="EG24" s="93">
        <f t="shared" si="118"/>
        <v>956.17283642890334</v>
      </c>
      <c r="EH24" s="91">
        <f t="shared" si="119"/>
        <v>0.2381178877270303</v>
      </c>
      <c r="EI24" s="91">
        <f t="shared" si="120"/>
        <v>1.1430939355274493E-5</v>
      </c>
      <c r="EJ24" s="91">
        <f t="shared" si="121"/>
        <v>0</v>
      </c>
      <c r="EK24" s="91">
        <f t="shared" si="122"/>
        <v>62.574239037808489</v>
      </c>
      <c r="EL24" s="91">
        <f t="shared" si="123"/>
        <v>47.957041113425461</v>
      </c>
    </row>
    <row r="25" spans="1:142" x14ac:dyDescent="0.4">
      <c r="A25" s="21">
        <v>124</v>
      </c>
      <c r="B25" s="21" t="s">
        <v>94</v>
      </c>
      <c r="C25" s="21">
        <v>41.167093000000001</v>
      </c>
      <c r="D25" s="21">
        <v>620561.4</v>
      </c>
      <c r="E25" s="21">
        <v>6082696.7999999998</v>
      </c>
      <c r="F25" s="21">
        <v>760.8</v>
      </c>
      <c r="G25" s="21">
        <v>17</v>
      </c>
      <c r="H25" s="21">
        <v>0</v>
      </c>
      <c r="I25" s="21">
        <v>72</v>
      </c>
      <c r="J25" s="21">
        <v>0</v>
      </c>
      <c r="K25" s="21">
        <v>100</v>
      </c>
      <c r="L25" s="21">
        <v>4</v>
      </c>
      <c r="M25" s="21">
        <v>100</v>
      </c>
      <c r="N25" s="21">
        <v>0</v>
      </c>
      <c r="O25" s="35">
        <v>13</v>
      </c>
      <c r="P25" s="21">
        <v>90</v>
      </c>
      <c r="Q25" s="4">
        <v>781.16</v>
      </c>
      <c r="R25" s="4">
        <v>30.899999619999999</v>
      </c>
      <c r="S25" s="89">
        <f t="shared" si="0"/>
        <v>72</v>
      </c>
      <c r="T25" s="90">
        <f t="shared" si="1"/>
        <v>3.2456920022533735</v>
      </c>
      <c r="U25" s="91">
        <f t="shared" si="2"/>
        <v>515.17765567083813</v>
      </c>
      <c r="V25" s="91">
        <f t="shared" si="3"/>
        <v>402436.17750383192</v>
      </c>
      <c r="W25" s="87">
        <f t="shared" si="4"/>
        <v>4024361775.0383191</v>
      </c>
      <c r="X25" s="90">
        <f t="shared" si="5"/>
        <v>4.0243617750383187</v>
      </c>
      <c r="Y25" s="87">
        <f t="shared" si="6"/>
        <v>0.5</v>
      </c>
      <c r="Z25" s="87">
        <f t="shared" si="7"/>
        <v>11.74</v>
      </c>
      <c r="AA25" s="87">
        <f t="shared" si="8"/>
        <v>0.33600000000000002</v>
      </c>
      <c r="AB25" s="90">
        <f t="shared" si="9"/>
        <v>0.68975998632000002</v>
      </c>
      <c r="AC25" s="91">
        <f t="shared" si="10"/>
        <v>0</v>
      </c>
      <c r="AD25" s="91">
        <f t="shared" si="11"/>
        <v>0</v>
      </c>
      <c r="AE25" s="91">
        <f t="shared" si="12"/>
        <v>10.264285510714284</v>
      </c>
      <c r="AF25" s="91">
        <f t="shared" si="13"/>
        <v>30.792856532142853</v>
      </c>
      <c r="AG25" s="87">
        <f t="shared" si="14"/>
        <v>0</v>
      </c>
      <c r="AH25" s="87">
        <f t="shared" si="15"/>
        <v>0</v>
      </c>
      <c r="AI25" s="92">
        <f t="shared" si="16"/>
        <v>13</v>
      </c>
      <c r="AJ25" s="87">
        <f t="shared" si="17"/>
        <v>72</v>
      </c>
      <c r="AK25" s="87">
        <f t="shared" si="18"/>
        <v>311.17880378100608</v>
      </c>
      <c r="AL25" s="87">
        <f t="shared" si="19"/>
        <v>0</v>
      </c>
      <c r="AM25" s="87">
        <f t="shared" si="20"/>
        <v>7.1999999999999998E-3</v>
      </c>
      <c r="AN25" s="92">
        <f t="shared" si="21"/>
        <v>2.8975404780275892E-2</v>
      </c>
      <c r="AO25" s="87">
        <f t="shared" si="22"/>
        <v>28975.404780275891</v>
      </c>
      <c r="AP25" s="91">
        <f t="shared" si="23"/>
        <v>42.007952555881289</v>
      </c>
      <c r="AQ25" s="93">
        <f t="shared" si="24"/>
        <v>133.69039977511696</v>
      </c>
      <c r="AR25" s="93">
        <f t="shared" si="25"/>
        <v>401.07119932535096</v>
      </c>
      <c r="AS25" s="91">
        <f t="shared" si="26"/>
        <v>5.2189107442513327</v>
      </c>
      <c r="AT25" s="91">
        <f t="shared" si="27"/>
        <v>8.0552046544692515E-2</v>
      </c>
      <c r="AU25" s="91">
        <f t="shared" si="28"/>
        <v>0</v>
      </c>
      <c r="AV25" s="91">
        <f t="shared" si="29"/>
        <v>30.902807489285717</v>
      </c>
      <c r="AW25" s="91">
        <f t="shared" si="30"/>
        <v>10.374236467857148</v>
      </c>
      <c r="AX25" s="95">
        <f t="shared" si="31"/>
        <v>144</v>
      </c>
      <c r="AY25" s="90">
        <f t="shared" si="32"/>
        <v>3.2456920022533735</v>
      </c>
      <c r="AZ25" s="91">
        <f t="shared" si="33"/>
        <v>515.17765567083813</v>
      </c>
      <c r="BA25" s="91">
        <f t="shared" si="34"/>
        <v>402436.17750383192</v>
      </c>
      <c r="BB25" s="87">
        <f t="shared" si="35"/>
        <v>4024361775.0383191</v>
      </c>
      <c r="BC25" s="90">
        <f t="shared" si="36"/>
        <v>4.0243617750383187</v>
      </c>
      <c r="BD25" s="87">
        <f t="shared" si="37"/>
        <v>0.5</v>
      </c>
      <c r="BE25" s="87">
        <f t="shared" si="38"/>
        <v>11.74</v>
      </c>
      <c r="BF25" s="87">
        <f t="shared" si="39"/>
        <v>0.33600000000000002</v>
      </c>
      <c r="BG25" s="90">
        <f t="shared" si="40"/>
        <v>1.37951997264</v>
      </c>
      <c r="BH25" s="91">
        <f t="shared" si="41"/>
        <v>0</v>
      </c>
      <c r="BI25" s="91">
        <f t="shared" si="42"/>
        <v>0.45737708943999983</v>
      </c>
      <c r="BJ25" s="91">
        <f t="shared" si="43"/>
        <v>20.528571021428569</v>
      </c>
      <c r="BK25" s="91">
        <f t="shared" si="44"/>
        <v>61.585713064285706</v>
      </c>
      <c r="BL25" s="87">
        <f t="shared" si="45"/>
        <v>0</v>
      </c>
      <c r="BM25" s="87">
        <f t="shared" si="46"/>
        <v>0</v>
      </c>
      <c r="BN25" s="92">
        <f t="shared" si="47"/>
        <v>13</v>
      </c>
      <c r="BO25" s="87">
        <f t="shared" si="48"/>
        <v>144</v>
      </c>
      <c r="BP25" s="87">
        <f t="shared" si="49"/>
        <v>311.17880378100608</v>
      </c>
      <c r="BQ25" s="87">
        <f t="shared" si="50"/>
        <v>0</v>
      </c>
      <c r="BR25" s="87">
        <f t="shared" si="51"/>
        <v>1.44E-2</v>
      </c>
      <c r="BS25" s="92">
        <f t="shared" si="52"/>
        <v>5.7950809560551785E-2</v>
      </c>
      <c r="BT25" s="87">
        <f t="shared" si="53"/>
        <v>57950.809560551781</v>
      </c>
      <c r="BU25" s="91">
        <f t="shared" si="54"/>
        <v>42.007952555881289</v>
      </c>
      <c r="BV25" s="93">
        <f t="shared" si="55"/>
        <v>66.845199887558479</v>
      </c>
      <c r="BW25" s="93">
        <f t="shared" si="56"/>
        <v>200.53559966267548</v>
      </c>
      <c r="BX25" s="91">
        <f t="shared" si="57"/>
        <v>14.806611865578468</v>
      </c>
      <c r="BY25" s="91">
        <f t="shared" si="58"/>
        <v>1.8395180209850037</v>
      </c>
      <c r="BZ25" s="91">
        <f t="shared" si="59"/>
        <v>0</v>
      </c>
      <c r="CA25" s="91">
        <f t="shared" si="60"/>
        <v>20.638521978571433</v>
      </c>
      <c r="CB25" s="91">
        <f t="shared" si="61"/>
        <v>0</v>
      </c>
      <c r="CC25" s="95">
        <f t="shared" si="62"/>
        <v>216</v>
      </c>
      <c r="CD25" s="90">
        <f t="shared" si="63"/>
        <v>3.2456920022533735</v>
      </c>
      <c r="CE25" s="91">
        <f t="shared" si="64"/>
        <v>515.17765567083813</v>
      </c>
      <c r="CF25" s="91">
        <f t="shared" si="65"/>
        <v>402436.17750383192</v>
      </c>
      <c r="CG25" s="87">
        <f t="shared" si="66"/>
        <v>4024361775.0383191</v>
      </c>
      <c r="CH25" s="90">
        <f t="shared" si="67"/>
        <v>4.0243617750383187</v>
      </c>
      <c r="CI25" s="87">
        <f t="shared" si="68"/>
        <v>0.5</v>
      </c>
      <c r="CJ25" s="87">
        <f t="shared" si="69"/>
        <v>11.74</v>
      </c>
      <c r="CK25" s="87">
        <f t="shared" si="70"/>
        <v>0.33600000000000002</v>
      </c>
      <c r="CL25" s="90">
        <f t="shared" si="71"/>
        <v>2.0692799589599997</v>
      </c>
      <c r="CM25" s="91">
        <f t="shared" si="72"/>
        <v>0</v>
      </c>
      <c r="CN25" s="91">
        <f t="shared" si="73"/>
        <v>1.1471370757599997</v>
      </c>
      <c r="CO25" s="91">
        <f t="shared" si="74"/>
        <v>30.792856532142849</v>
      </c>
      <c r="CP25" s="91">
        <f t="shared" si="75"/>
        <v>92.378569596428548</v>
      </c>
      <c r="CQ25" s="87">
        <f t="shared" si="76"/>
        <v>0</v>
      </c>
      <c r="CR25" s="87">
        <f t="shared" si="77"/>
        <v>0</v>
      </c>
      <c r="CS25" s="92">
        <f t="shared" si="78"/>
        <v>13</v>
      </c>
      <c r="CT25" s="87">
        <f t="shared" si="79"/>
        <v>216</v>
      </c>
      <c r="CU25" s="87">
        <f t="shared" si="80"/>
        <v>311.17880378100608</v>
      </c>
      <c r="CV25" s="87">
        <f t="shared" si="81"/>
        <v>0</v>
      </c>
      <c r="CW25" s="87">
        <f t="shared" si="82"/>
        <v>2.1600000000000001E-2</v>
      </c>
      <c r="CX25" s="92">
        <f t="shared" si="83"/>
        <v>8.6926214340827687E-2</v>
      </c>
      <c r="CY25" s="87">
        <f t="shared" si="84"/>
        <v>86926.21434082769</v>
      </c>
      <c r="CZ25" s="91">
        <f t="shared" si="85"/>
        <v>42.007952555881303</v>
      </c>
      <c r="DA25" s="93">
        <f t="shared" si="86"/>
        <v>44.563466591705662</v>
      </c>
      <c r="DB25" s="93">
        <f t="shared" si="87"/>
        <v>133.69039977511699</v>
      </c>
      <c r="DC25" s="91">
        <f t="shared" si="88"/>
        <v>20.961111090641818</v>
      </c>
      <c r="DD25" s="91">
        <f t="shared" si="89"/>
        <v>5.2189107442513318</v>
      </c>
      <c r="DE25" s="91">
        <f t="shared" si="90"/>
        <v>0</v>
      </c>
      <c r="DF25" s="91">
        <f t="shared" si="91"/>
        <v>10.374236467857152</v>
      </c>
      <c r="DG25" s="91">
        <f t="shared" si="92"/>
        <v>0</v>
      </c>
      <c r="DH25" s="95">
        <f t="shared" si="93"/>
        <v>288</v>
      </c>
      <c r="DI25" s="90">
        <f t="shared" si="94"/>
        <v>3.2456920022533735</v>
      </c>
      <c r="DJ25" s="91">
        <f t="shared" si="95"/>
        <v>515.17765567083813</v>
      </c>
      <c r="DK25" s="91">
        <f t="shared" si="96"/>
        <v>402436.17750383192</v>
      </c>
      <c r="DL25" s="87">
        <f t="shared" si="97"/>
        <v>4024361775.0383191</v>
      </c>
      <c r="DM25" s="90">
        <f t="shared" si="98"/>
        <v>4.0243617750383187</v>
      </c>
      <c r="DN25" s="87">
        <f t="shared" si="99"/>
        <v>0.5</v>
      </c>
      <c r="DO25" s="87">
        <f t="shared" si="100"/>
        <v>11.74</v>
      </c>
      <c r="DP25" s="87">
        <f t="shared" si="101"/>
        <v>0.33600000000000002</v>
      </c>
      <c r="DQ25" s="90">
        <f t="shared" si="102"/>
        <v>2.7590399452800001</v>
      </c>
      <c r="DR25" s="91">
        <f t="shared" si="103"/>
        <v>0</v>
      </c>
      <c r="DS25" s="91">
        <f t="shared" si="104"/>
        <v>1.8368970620799996</v>
      </c>
      <c r="DT25" s="91">
        <f t="shared" si="105"/>
        <v>41.057142042857137</v>
      </c>
      <c r="DU25" s="91">
        <f t="shared" si="106"/>
        <v>123.17142612857141</v>
      </c>
      <c r="DV25" s="87">
        <f t="shared" si="107"/>
        <v>0</v>
      </c>
      <c r="DW25" s="87">
        <f t="shared" si="108"/>
        <v>0</v>
      </c>
      <c r="DX25" s="92">
        <f t="shared" si="109"/>
        <v>13</v>
      </c>
      <c r="DY25" s="87">
        <f t="shared" si="110"/>
        <v>288</v>
      </c>
      <c r="DZ25" s="87">
        <f t="shared" si="111"/>
        <v>311.17880378100608</v>
      </c>
      <c r="EA25" s="87">
        <f t="shared" si="112"/>
        <v>0</v>
      </c>
      <c r="EB25" s="87">
        <f t="shared" si="113"/>
        <v>2.8799999999999999E-2</v>
      </c>
      <c r="EC25" s="92">
        <f t="shared" si="114"/>
        <v>0.11590161912110357</v>
      </c>
      <c r="ED25" s="87">
        <f t="shared" si="115"/>
        <v>115901.61912110356</v>
      </c>
      <c r="EE25" s="91">
        <f t="shared" si="116"/>
        <v>42.007952555881289</v>
      </c>
      <c r="EF25" s="93">
        <f t="shared" si="117"/>
        <v>33.42259994377924</v>
      </c>
      <c r="EG25" s="93">
        <f t="shared" si="118"/>
        <v>100.26779983133774</v>
      </c>
      <c r="EH25" s="91">
        <f t="shared" si="119"/>
        <v>24.939836582515316</v>
      </c>
      <c r="EI25" s="91">
        <f t="shared" si="120"/>
        <v>8.7905850630789466</v>
      </c>
      <c r="EJ25" s="91">
        <f t="shared" si="121"/>
        <v>0</v>
      </c>
      <c r="EK25" s="91">
        <f t="shared" si="122"/>
        <v>0.10995095714286407</v>
      </c>
      <c r="EL25" s="91">
        <f t="shared" si="123"/>
        <v>0</v>
      </c>
    </row>
    <row r="26" spans="1:142" x14ac:dyDescent="0.4">
      <c r="A26" s="21">
        <v>110</v>
      </c>
      <c r="B26" s="21" t="s">
        <v>94</v>
      </c>
      <c r="C26" s="21">
        <v>51.741317000000002</v>
      </c>
      <c r="D26" s="21">
        <v>620328.5</v>
      </c>
      <c r="E26" s="21">
        <v>6082493.2000000002</v>
      </c>
      <c r="F26" s="21">
        <v>763.8</v>
      </c>
      <c r="G26" s="21">
        <v>15</v>
      </c>
      <c r="H26" s="21">
        <v>0</v>
      </c>
      <c r="I26" s="21">
        <v>40.15</v>
      </c>
      <c r="J26" s="21">
        <v>0</v>
      </c>
      <c r="K26" s="21">
        <v>100</v>
      </c>
      <c r="L26" s="21">
        <v>4</v>
      </c>
      <c r="M26" s="21">
        <v>100</v>
      </c>
      <c r="N26" s="21">
        <v>0</v>
      </c>
      <c r="O26" s="35">
        <v>2</v>
      </c>
      <c r="P26" s="21">
        <v>90</v>
      </c>
      <c r="Q26" s="4">
        <v>781.16</v>
      </c>
      <c r="R26" s="4">
        <v>30.899999619999999</v>
      </c>
      <c r="S26" s="89">
        <f t="shared" si="0"/>
        <v>40.15</v>
      </c>
      <c r="T26" s="90">
        <f t="shared" si="1"/>
        <v>3.0375094525380737</v>
      </c>
      <c r="U26" s="91">
        <f t="shared" si="2"/>
        <v>497.54667553544948</v>
      </c>
      <c r="V26" s="91">
        <f t="shared" si="3"/>
        <v>388663.5610612717</v>
      </c>
      <c r="W26" s="87">
        <f t="shared" si="4"/>
        <v>3886635610.6127172</v>
      </c>
      <c r="X26" s="90">
        <f t="shared" si="5"/>
        <v>3.8866356106127173</v>
      </c>
      <c r="Y26" s="87">
        <f t="shared" si="6"/>
        <v>0.5</v>
      </c>
      <c r="Z26" s="87">
        <f t="shared" si="7"/>
        <v>11.74</v>
      </c>
      <c r="AA26" s="87">
        <f t="shared" si="8"/>
        <v>0.33600000000000002</v>
      </c>
      <c r="AB26" s="90">
        <f t="shared" si="9"/>
        <v>0.38463699237150001</v>
      </c>
      <c r="AC26" s="91">
        <f t="shared" si="10"/>
        <v>0</v>
      </c>
      <c r="AD26" s="91">
        <f t="shared" si="11"/>
        <v>0</v>
      </c>
      <c r="AE26" s="91">
        <f t="shared" si="12"/>
        <v>5.7237647674330354</v>
      </c>
      <c r="AF26" s="91">
        <f t="shared" si="13"/>
        <v>17.171294302299106</v>
      </c>
      <c r="AG26" s="87">
        <f t="shared" si="14"/>
        <v>0</v>
      </c>
      <c r="AH26" s="87">
        <f t="shared" si="15"/>
        <v>0</v>
      </c>
      <c r="AI26" s="92">
        <f t="shared" si="16"/>
        <v>2</v>
      </c>
      <c r="AJ26" s="87">
        <f t="shared" si="17"/>
        <v>40.15</v>
      </c>
      <c r="AK26" s="87">
        <f t="shared" si="18"/>
        <v>2005.7595843490676</v>
      </c>
      <c r="AL26" s="87">
        <f t="shared" si="19"/>
        <v>0</v>
      </c>
      <c r="AM26" s="87">
        <f t="shared" si="20"/>
        <v>4.0149999999999995E-3</v>
      </c>
      <c r="AN26" s="92">
        <f t="shared" si="21"/>
        <v>1.5604841976610058E-2</v>
      </c>
      <c r="AO26" s="87">
        <f t="shared" si="22"/>
        <v>15604.841976610058</v>
      </c>
      <c r="AP26" s="91">
        <f t="shared" si="23"/>
        <v>40.570309892445778</v>
      </c>
      <c r="AQ26" s="93">
        <f t="shared" si="24"/>
        <v>301.32450174750215</v>
      </c>
      <c r="AR26" s="93">
        <f t="shared" si="25"/>
        <v>903.97350524250635</v>
      </c>
      <c r="AS26" s="91">
        <f t="shared" si="26"/>
        <v>0.36875393079244351</v>
      </c>
      <c r="AT26" s="91">
        <f t="shared" si="27"/>
        <v>3.046444883625606E-5</v>
      </c>
      <c r="AU26" s="91">
        <f t="shared" si="28"/>
        <v>0</v>
      </c>
      <c r="AV26" s="91">
        <f t="shared" si="29"/>
        <v>46.01755223256697</v>
      </c>
      <c r="AW26" s="91">
        <f t="shared" si="30"/>
        <v>34.570022697700892</v>
      </c>
      <c r="AX26" s="95">
        <f t="shared" si="31"/>
        <v>80.3</v>
      </c>
      <c r="AY26" s="90">
        <f t="shared" si="32"/>
        <v>3.0375094525380737</v>
      </c>
      <c r="AZ26" s="91">
        <f t="shared" si="33"/>
        <v>497.54667553544948</v>
      </c>
      <c r="BA26" s="91">
        <f t="shared" si="34"/>
        <v>388663.5610612717</v>
      </c>
      <c r="BB26" s="87">
        <f t="shared" si="35"/>
        <v>3886635610.6127172</v>
      </c>
      <c r="BC26" s="90">
        <f t="shared" si="36"/>
        <v>3.8866356106127173</v>
      </c>
      <c r="BD26" s="87">
        <f t="shared" si="37"/>
        <v>0.5</v>
      </c>
      <c r="BE26" s="87">
        <f t="shared" si="38"/>
        <v>11.74</v>
      </c>
      <c r="BF26" s="87">
        <f t="shared" si="39"/>
        <v>0.33600000000000002</v>
      </c>
      <c r="BG26" s="90">
        <f t="shared" si="40"/>
        <v>0.76927398474300002</v>
      </c>
      <c r="BH26" s="91">
        <f t="shared" si="41"/>
        <v>0</v>
      </c>
      <c r="BI26" s="91">
        <f t="shared" si="42"/>
        <v>0</v>
      </c>
      <c r="BJ26" s="91">
        <f t="shared" si="43"/>
        <v>11.447529534866071</v>
      </c>
      <c r="BK26" s="91">
        <f t="shared" si="44"/>
        <v>34.342588604598212</v>
      </c>
      <c r="BL26" s="87">
        <f t="shared" si="45"/>
        <v>0</v>
      </c>
      <c r="BM26" s="87">
        <f t="shared" si="46"/>
        <v>0</v>
      </c>
      <c r="BN26" s="92">
        <f t="shared" si="47"/>
        <v>2</v>
      </c>
      <c r="BO26" s="87">
        <f t="shared" si="48"/>
        <v>80.3</v>
      </c>
      <c r="BP26" s="87">
        <f t="shared" si="49"/>
        <v>2005.7595843490676</v>
      </c>
      <c r="BQ26" s="87">
        <f t="shared" si="50"/>
        <v>0</v>
      </c>
      <c r="BR26" s="87">
        <f t="shared" si="51"/>
        <v>8.0299999999999989E-3</v>
      </c>
      <c r="BS26" s="92">
        <f t="shared" si="52"/>
        <v>3.1209683953220116E-2</v>
      </c>
      <c r="BT26" s="87">
        <f t="shared" si="53"/>
        <v>31209.683953220116</v>
      </c>
      <c r="BU26" s="91">
        <f t="shared" si="54"/>
        <v>40.570309892445778</v>
      </c>
      <c r="BV26" s="93">
        <f t="shared" si="55"/>
        <v>150.66225087375108</v>
      </c>
      <c r="BW26" s="93">
        <f t="shared" si="56"/>
        <v>451.98675262125317</v>
      </c>
      <c r="BX26" s="91">
        <f t="shared" si="57"/>
        <v>3.8678755468999952</v>
      </c>
      <c r="BY26" s="91">
        <f t="shared" si="58"/>
        <v>3.5156110848463706E-2</v>
      </c>
      <c r="BZ26" s="91">
        <f t="shared" si="59"/>
        <v>0</v>
      </c>
      <c r="CA26" s="91">
        <f t="shared" si="60"/>
        <v>40.293787465133931</v>
      </c>
      <c r="CB26" s="91">
        <f t="shared" si="61"/>
        <v>17.39872839540179</v>
      </c>
      <c r="CC26" s="95">
        <f t="shared" si="62"/>
        <v>120.44999999999999</v>
      </c>
      <c r="CD26" s="90">
        <f t="shared" si="63"/>
        <v>3.0375094525380737</v>
      </c>
      <c r="CE26" s="91">
        <f t="shared" si="64"/>
        <v>497.54667553544948</v>
      </c>
      <c r="CF26" s="91">
        <f t="shared" si="65"/>
        <v>388663.5610612717</v>
      </c>
      <c r="CG26" s="87">
        <f t="shared" si="66"/>
        <v>3886635610.6127172</v>
      </c>
      <c r="CH26" s="90">
        <f t="shared" si="67"/>
        <v>3.8866356106127173</v>
      </c>
      <c r="CI26" s="87">
        <f t="shared" si="68"/>
        <v>0.5</v>
      </c>
      <c r="CJ26" s="87">
        <f t="shared" si="69"/>
        <v>11.74</v>
      </c>
      <c r="CK26" s="87">
        <f t="shared" si="70"/>
        <v>0.33600000000000002</v>
      </c>
      <c r="CL26" s="90">
        <f t="shared" si="71"/>
        <v>1.1539109771145</v>
      </c>
      <c r="CM26" s="91">
        <f t="shared" si="72"/>
        <v>0</v>
      </c>
      <c r="CN26" s="91">
        <f t="shared" si="73"/>
        <v>0</v>
      </c>
      <c r="CO26" s="91">
        <f t="shared" si="74"/>
        <v>17.171294302299106</v>
      </c>
      <c r="CP26" s="91">
        <f t="shared" si="75"/>
        <v>51.513882906897322</v>
      </c>
      <c r="CQ26" s="87">
        <f t="shared" si="76"/>
        <v>0</v>
      </c>
      <c r="CR26" s="87">
        <f t="shared" si="77"/>
        <v>0</v>
      </c>
      <c r="CS26" s="92">
        <f t="shared" si="78"/>
        <v>2</v>
      </c>
      <c r="CT26" s="87">
        <f t="shared" si="79"/>
        <v>120.44999999999999</v>
      </c>
      <c r="CU26" s="87">
        <f t="shared" si="80"/>
        <v>2005.7595843490676</v>
      </c>
      <c r="CV26" s="87">
        <f t="shared" si="81"/>
        <v>0</v>
      </c>
      <c r="CW26" s="87">
        <f t="shared" si="82"/>
        <v>1.2044999999999998E-2</v>
      </c>
      <c r="CX26" s="92">
        <f t="shared" si="83"/>
        <v>4.6814525929830174E-2</v>
      </c>
      <c r="CY26" s="87">
        <f t="shared" si="84"/>
        <v>46814.525929830175</v>
      </c>
      <c r="CZ26" s="91">
        <f t="shared" si="85"/>
        <v>40.570309892445785</v>
      </c>
      <c r="DA26" s="93">
        <f t="shared" si="86"/>
        <v>100.44150058250069</v>
      </c>
      <c r="DB26" s="93">
        <f t="shared" si="87"/>
        <v>301.32450174750215</v>
      </c>
      <c r="DC26" s="91">
        <f t="shared" si="88"/>
        <v>8.4667701402004383</v>
      </c>
      <c r="DD26" s="91">
        <f t="shared" si="89"/>
        <v>0.36875393079244356</v>
      </c>
      <c r="DE26" s="91">
        <f t="shared" si="90"/>
        <v>0</v>
      </c>
      <c r="DF26" s="91">
        <f t="shared" si="91"/>
        <v>34.570022697700892</v>
      </c>
      <c r="DG26" s="91">
        <f t="shared" si="92"/>
        <v>0.22743409310267992</v>
      </c>
      <c r="DH26" s="95">
        <f t="shared" si="93"/>
        <v>160.6</v>
      </c>
      <c r="DI26" s="90">
        <f t="shared" si="94"/>
        <v>3.0375094525380737</v>
      </c>
      <c r="DJ26" s="91">
        <f t="shared" si="95"/>
        <v>497.54667553544948</v>
      </c>
      <c r="DK26" s="91">
        <f t="shared" si="96"/>
        <v>388663.5610612717</v>
      </c>
      <c r="DL26" s="87">
        <f t="shared" si="97"/>
        <v>3886635610.6127172</v>
      </c>
      <c r="DM26" s="90">
        <f t="shared" si="98"/>
        <v>3.8866356106127173</v>
      </c>
      <c r="DN26" s="87">
        <f t="shared" si="99"/>
        <v>0.5</v>
      </c>
      <c r="DO26" s="87">
        <f t="shared" si="100"/>
        <v>11.74</v>
      </c>
      <c r="DP26" s="87">
        <f t="shared" si="101"/>
        <v>0.33600000000000002</v>
      </c>
      <c r="DQ26" s="90">
        <f t="shared" si="102"/>
        <v>1.538547969486</v>
      </c>
      <c r="DR26" s="91">
        <f t="shared" si="103"/>
        <v>0</v>
      </c>
      <c r="DS26" s="91">
        <f t="shared" si="104"/>
        <v>0.37954246868599989</v>
      </c>
      <c r="DT26" s="91">
        <f t="shared" si="105"/>
        <v>22.895059069732142</v>
      </c>
      <c r="DU26" s="91">
        <f t="shared" si="106"/>
        <v>68.685177209196425</v>
      </c>
      <c r="DV26" s="87">
        <f t="shared" si="107"/>
        <v>0</v>
      </c>
      <c r="DW26" s="87">
        <f t="shared" si="108"/>
        <v>0</v>
      </c>
      <c r="DX26" s="92">
        <f t="shared" si="109"/>
        <v>2</v>
      </c>
      <c r="DY26" s="87">
        <f t="shared" si="110"/>
        <v>160.6</v>
      </c>
      <c r="DZ26" s="87">
        <f t="shared" si="111"/>
        <v>2005.7595843490676</v>
      </c>
      <c r="EA26" s="87">
        <f t="shared" si="112"/>
        <v>0</v>
      </c>
      <c r="EB26" s="87">
        <f t="shared" si="113"/>
        <v>1.6059999999999998E-2</v>
      </c>
      <c r="EC26" s="92">
        <f t="shared" si="114"/>
        <v>6.2419367906440232E-2</v>
      </c>
      <c r="ED26" s="87">
        <f t="shared" si="115"/>
        <v>62419.367906440231</v>
      </c>
      <c r="EE26" s="91">
        <f t="shared" si="116"/>
        <v>40.570309892445778</v>
      </c>
      <c r="EF26" s="93">
        <f t="shared" si="117"/>
        <v>75.331125436875539</v>
      </c>
      <c r="EG26" s="93">
        <f t="shared" si="118"/>
        <v>225.99337631062659</v>
      </c>
      <c r="EH26" s="91">
        <f t="shared" si="119"/>
        <v>12.526807636550743</v>
      </c>
      <c r="EI26" s="91">
        <f t="shared" si="120"/>
        <v>1.1942756431139954</v>
      </c>
      <c r="EJ26" s="91">
        <f t="shared" si="121"/>
        <v>0</v>
      </c>
      <c r="EK26" s="91">
        <f t="shared" si="122"/>
        <v>28.846257930267861</v>
      </c>
      <c r="EL26" s="91">
        <f t="shared" si="123"/>
        <v>0</v>
      </c>
    </row>
    <row r="27" spans="1:142" x14ac:dyDescent="0.4">
      <c r="A27" s="21">
        <v>116</v>
      </c>
      <c r="B27" s="21" t="s">
        <v>94</v>
      </c>
      <c r="C27" s="21">
        <v>47.597133999999997</v>
      </c>
      <c r="D27" s="21">
        <v>620409.59999999998</v>
      </c>
      <c r="E27" s="21">
        <v>6082518.5999999996</v>
      </c>
      <c r="F27" s="21">
        <v>764</v>
      </c>
      <c r="G27" s="21">
        <v>15</v>
      </c>
      <c r="H27" s="21">
        <v>0</v>
      </c>
      <c r="I27" s="21">
        <v>132</v>
      </c>
      <c r="J27" s="21">
        <v>0</v>
      </c>
      <c r="K27" s="21">
        <v>100</v>
      </c>
      <c r="L27" s="21">
        <v>3</v>
      </c>
      <c r="M27" s="21">
        <v>100</v>
      </c>
      <c r="N27" s="21">
        <v>0</v>
      </c>
      <c r="O27" s="35">
        <v>20</v>
      </c>
      <c r="P27" s="21">
        <v>90</v>
      </c>
      <c r="Q27" s="4">
        <v>781.16</v>
      </c>
      <c r="R27" s="4">
        <v>30.899999619999999</v>
      </c>
      <c r="S27" s="89">
        <f t="shared" si="0"/>
        <v>99</v>
      </c>
      <c r="T27" s="90">
        <f t="shared" si="1"/>
        <v>3.0375094525380737</v>
      </c>
      <c r="U27" s="91">
        <f t="shared" si="2"/>
        <v>497.54667553544948</v>
      </c>
      <c r="V27" s="91">
        <f t="shared" si="3"/>
        <v>388663.5610612717</v>
      </c>
      <c r="W27" s="87">
        <f t="shared" si="4"/>
        <v>3886635610.6127172</v>
      </c>
      <c r="X27" s="90">
        <f t="shared" si="5"/>
        <v>3.8866356106127173</v>
      </c>
      <c r="Y27" s="87">
        <f t="shared" si="6"/>
        <v>0.5</v>
      </c>
      <c r="Z27" s="87">
        <f t="shared" si="7"/>
        <v>11.74</v>
      </c>
      <c r="AA27" s="87">
        <f t="shared" si="8"/>
        <v>0.33600000000000002</v>
      </c>
      <c r="AB27" s="90">
        <f t="shared" si="9"/>
        <v>0.94841998119000004</v>
      </c>
      <c r="AC27" s="91">
        <f t="shared" si="10"/>
        <v>0</v>
      </c>
      <c r="AD27" s="91">
        <f t="shared" si="11"/>
        <v>0</v>
      </c>
      <c r="AE27" s="91">
        <f t="shared" si="12"/>
        <v>14.113392577232142</v>
      </c>
      <c r="AF27" s="91">
        <f t="shared" si="13"/>
        <v>42.340177731696429</v>
      </c>
      <c r="AG27" s="87">
        <f t="shared" si="14"/>
        <v>0</v>
      </c>
      <c r="AH27" s="87">
        <f t="shared" si="15"/>
        <v>0</v>
      </c>
      <c r="AI27" s="92">
        <f t="shared" si="16"/>
        <v>20</v>
      </c>
      <c r="AJ27" s="87">
        <f t="shared" si="17"/>
        <v>99</v>
      </c>
      <c r="AK27" s="87">
        <f t="shared" si="18"/>
        <v>204.66630801141611</v>
      </c>
      <c r="AL27" s="87">
        <f t="shared" si="19"/>
        <v>0</v>
      </c>
      <c r="AM27" s="87">
        <f t="shared" si="20"/>
        <v>9.9000000000000008E-3</v>
      </c>
      <c r="AN27" s="92">
        <f t="shared" si="21"/>
        <v>3.8477692545065903E-2</v>
      </c>
      <c r="AO27" s="87">
        <f t="shared" si="22"/>
        <v>38477.692545065904</v>
      </c>
      <c r="AP27" s="91">
        <f t="shared" si="23"/>
        <v>40.570309892445785</v>
      </c>
      <c r="AQ27" s="93">
        <f t="shared" si="24"/>
        <v>112.41599953031877</v>
      </c>
      <c r="AR27" s="93">
        <f t="shared" si="25"/>
        <v>337.24799859095634</v>
      </c>
      <c r="AS27" s="91">
        <f t="shared" si="26"/>
        <v>7.0240988048195252</v>
      </c>
      <c r="AT27" s="91">
        <f t="shared" si="27"/>
        <v>0.21054997094568345</v>
      </c>
      <c r="AU27" s="91">
        <f t="shared" si="28"/>
        <v>0</v>
      </c>
      <c r="AV27" s="91">
        <f t="shared" si="29"/>
        <v>33.483741422767856</v>
      </c>
      <c r="AW27" s="91">
        <f t="shared" si="30"/>
        <v>5.2569562683035684</v>
      </c>
      <c r="AX27" s="95">
        <f t="shared" si="31"/>
        <v>198</v>
      </c>
      <c r="AY27" s="90">
        <f t="shared" si="32"/>
        <v>3.0375094525380737</v>
      </c>
      <c r="AZ27" s="91">
        <f t="shared" si="33"/>
        <v>497.54667553544948</v>
      </c>
      <c r="BA27" s="91">
        <f t="shared" si="34"/>
        <v>388663.5610612717</v>
      </c>
      <c r="BB27" s="87">
        <f t="shared" si="35"/>
        <v>3886635610.6127172</v>
      </c>
      <c r="BC27" s="90">
        <f t="shared" si="36"/>
        <v>3.8866356106127173</v>
      </c>
      <c r="BD27" s="87">
        <f t="shared" si="37"/>
        <v>0.5</v>
      </c>
      <c r="BE27" s="87">
        <f t="shared" si="38"/>
        <v>11.74</v>
      </c>
      <c r="BF27" s="87">
        <f t="shared" si="39"/>
        <v>0.33600000000000002</v>
      </c>
      <c r="BG27" s="90">
        <f t="shared" si="40"/>
        <v>1.8968399623800001</v>
      </c>
      <c r="BH27" s="91">
        <f t="shared" si="41"/>
        <v>0</v>
      </c>
      <c r="BI27" s="91">
        <f t="shared" si="42"/>
        <v>0.83066416078000005</v>
      </c>
      <c r="BJ27" s="91">
        <f t="shared" si="43"/>
        <v>28.226785154464284</v>
      </c>
      <c r="BK27" s="91">
        <f t="shared" si="44"/>
        <v>84.680355463392857</v>
      </c>
      <c r="BL27" s="87">
        <f t="shared" si="45"/>
        <v>0</v>
      </c>
      <c r="BM27" s="87">
        <f t="shared" si="46"/>
        <v>0</v>
      </c>
      <c r="BN27" s="92">
        <f t="shared" si="47"/>
        <v>20</v>
      </c>
      <c r="BO27" s="87">
        <f t="shared" si="48"/>
        <v>198</v>
      </c>
      <c r="BP27" s="87">
        <f t="shared" si="49"/>
        <v>204.66630801141611</v>
      </c>
      <c r="BQ27" s="87">
        <f t="shared" si="50"/>
        <v>0</v>
      </c>
      <c r="BR27" s="87">
        <f t="shared" si="51"/>
        <v>1.9800000000000002E-2</v>
      </c>
      <c r="BS27" s="92">
        <f t="shared" si="52"/>
        <v>7.6955385090131806E-2</v>
      </c>
      <c r="BT27" s="87">
        <f t="shared" si="53"/>
        <v>76955.385090131807</v>
      </c>
      <c r="BU27" s="91">
        <f t="shared" si="54"/>
        <v>40.570309892445785</v>
      </c>
      <c r="BV27" s="93">
        <f t="shared" si="55"/>
        <v>56.207999765159386</v>
      </c>
      <c r="BW27" s="93">
        <f t="shared" si="56"/>
        <v>168.62399929547817</v>
      </c>
      <c r="BX27" s="91">
        <f t="shared" si="57"/>
        <v>16.881050477582438</v>
      </c>
      <c r="BY27" s="91">
        <f t="shared" si="58"/>
        <v>2.9226832823814206</v>
      </c>
      <c r="BZ27" s="91">
        <f t="shared" si="59"/>
        <v>0</v>
      </c>
      <c r="CA27" s="91">
        <f t="shared" si="60"/>
        <v>19.370348845535712</v>
      </c>
      <c r="CB27" s="91">
        <f t="shared" si="61"/>
        <v>0</v>
      </c>
      <c r="CC27" s="95">
        <f t="shared" si="62"/>
        <v>297</v>
      </c>
      <c r="CD27" s="90">
        <f t="shared" si="63"/>
        <v>3.0375094525380737</v>
      </c>
      <c r="CE27" s="91">
        <f t="shared" si="64"/>
        <v>497.54667553544948</v>
      </c>
      <c r="CF27" s="91">
        <f t="shared" si="65"/>
        <v>388663.5610612717</v>
      </c>
      <c r="CG27" s="87">
        <f t="shared" si="66"/>
        <v>3886635610.6127172</v>
      </c>
      <c r="CH27" s="90">
        <f t="shared" si="67"/>
        <v>3.8866356106127173</v>
      </c>
      <c r="CI27" s="87">
        <f t="shared" si="68"/>
        <v>0.5</v>
      </c>
      <c r="CJ27" s="87">
        <f t="shared" si="69"/>
        <v>11.74</v>
      </c>
      <c r="CK27" s="87">
        <f t="shared" si="70"/>
        <v>0.33600000000000002</v>
      </c>
      <c r="CL27" s="90">
        <f t="shared" si="71"/>
        <v>2.8452599435699999</v>
      </c>
      <c r="CM27" s="91">
        <f t="shared" si="72"/>
        <v>0</v>
      </c>
      <c r="CN27" s="91">
        <f t="shared" si="73"/>
        <v>1.7790841419699996</v>
      </c>
      <c r="CO27" s="91">
        <f t="shared" si="74"/>
        <v>42.340177731696421</v>
      </c>
      <c r="CP27" s="91">
        <f t="shared" si="75"/>
        <v>127.02053319508926</v>
      </c>
      <c r="CQ27" s="87">
        <f t="shared" si="76"/>
        <v>1</v>
      </c>
      <c r="CR27" s="87">
        <f t="shared" si="77"/>
        <v>0</v>
      </c>
      <c r="CS27" s="92">
        <f t="shared" si="78"/>
        <v>20</v>
      </c>
      <c r="CT27" s="87">
        <f t="shared" si="79"/>
        <v>297</v>
      </c>
      <c r="CU27" s="87">
        <f t="shared" si="80"/>
        <v>204.66630801141611</v>
      </c>
      <c r="CV27" s="87">
        <f t="shared" si="81"/>
        <v>0</v>
      </c>
      <c r="CW27" s="87">
        <f t="shared" si="82"/>
        <v>2.9700000000000001E-2</v>
      </c>
      <c r="CX27" s="92">
        <f t="shared" si="83"/>
        <v>0.11543307763519771</v>
      </c>
      <c r="CY27" s="87">
        <f t="shared" si="84"/>
        <v>115433.07763519771</v>
      </c>
      <c r="CZ27" s="91">
        <f t="shared" si="85"/>
        <v>40.570309892445785</v>
      </c>
      <c r="DA27" s="93">
        <f t="shared" si="86"/>
        <v>37.471999843439605</v>
      </c>
      <c r="DB27" s="93">
        <f t="shared" si="87"/>
        <v>112.4159995303188</v>
      </c>
      <c r="DC27" s="91">
        <f t="shared" si="88"/>
        <v>22.611832203336476</v>
      </c>
      <c r="DD27" s="91">
        <f t="shared" si="89"/>
        <v>7.0240988048195216</v>
      </c>
      <c r="DE27" s="91">
        <f t="shared" si="90"/>
        <v>0</v>
      </c>
      <c r="DF27" s="91">
        <f t="shared" si="91"/>
        <v>5.2569562683035755</v>
      </c>
      <c r="DG27" s="91">
        <f t="shared" si="92"/>
        <v>0</v>
      </c>
      <c r="DH27" s="95">
        <f t="shared" si="93"/>
        <v>396</v>
      </c>
      <c r="DI27" s="90">
        <f t="shared" si="94"/>
        <v>3.0375094525380737</v>
      </c>
      <c r="DJ27" s="91">
        <f t="shared" si="95"/>
        <v>497.54667553544948</v>
      </c>
      <c r="DK27" s="91">
        <f t="shared" si="96"/>
        <v>388663.5610612717</v>
      </c>
      <c r="DL27" s="87">
        <f t="shared" si="97"/>
        <v>3886635610.6127172</v>
      </c>
      <c r="DM27" s="90">
        <f t="shared" si="98"/>
        <v>3.8866356106127173</v>
      </c>
      <c r="DN27" s="87">
        <f t="shared" si="99"/>
        <v>0.5</v>
      </c>
      <c r="DO27" s="87">
        <f t="shared" si="100"/>
        <v>11.74</v>
      </c>
      <c r="DP27" s="87">
        <f t="shared" si="101"/>
        <v>0.33600000000000002</v>
      </c>
      <c r="DQ27" s="90">
        <f t="shared" si="102"/>
        <v>3.7936799247600002</v>
      </c>
      <c r="DR27" s="91">
        <f t="shared" si="103"/>
        <v>0.59515251996000007</v>
      </c>
      <c r="DS27" s="91">
        <f t="shared" si="104"/>
        <v>2.7275041231600001</v>
      </c>
      <c r="DT27" s="91">
        <f t="shared" si="105"/>
        <v>56.453570308928569</v>
      </c>
      <c r="DU27" s="91">
        <f t="shared" si="106"/>
        <v>169.36071092678571</v>
      </c>
      <c r="DV27" s="87">
        <f t="shared" si="107"/>
        <v>1</v>
      </c>
      <c r="DW27" s="87">
        <f t="shared" si="108"/>
        <v>0</v>
      </c>
      <c r="DX27" s="92">
        <f t="shared" si="109"/>
        <v>20</v>
      </c>
      <c r="DY27" s="87">
        <f t="shared" si="110"/>
        <v>396</v>
      </c>
      <c r="DZ27" s="87">
        <f t="shared" si="111"/>
        <v>204.66630801141611</v>
      </c>
      <c r="EA27" s="87">
        <f t="shared" si="112"/>
        <v>0.59515251996000007</v>
      </c>
      <c r="EB27" s="87">
        <f t="shared" si="113"/>
        <v>3.9600000000000003E-2</v>
      </c>
      <c r="EC27" s="92">
        <f t="shared" si="114"/>
        <v>0.15391077018026361</v>
      </c>
      <c r="ED27" s="87">
        <f t="shared" si="115"/>
        <v>153910.77018026361</v>
      </c>
      <c r="EE27" s="91">
        <f t="shared" si="116"/>
        <v>40.570309892445785</v>
      </c>
      <c r="EF27" s="93">
        <f t="shared" si="117"/>
        <v>28.103999882579693</v>
      </c>
      <c r="EG27" s="93">
        <f t="shared" si="118"/>
        <v>84.311999647739086</v>
      </c>
      <c r="EH27" s="91">
        <f t="shared" si="119"/>
        <v>26.170010492652448</v>
      </c>
      <c r="EI27" s="91">
        <f t="shared" si="120"/>
        <v>10.889176575099002</v>
      </c>
      <c r="EJ27" s="91">
        <f t="shared" si="121"/>
        <v>6.4807208789595743</v>
      </c>
      <c r="EK27" s="91">
        <f t="shared" si="122"/>
        <v>0</v>
      </c>
      <c r="EL27" s="91">
        <f t="shared" si="123"/>
        <v>0</v>
      </c>
    </row>
    <row r="28" spans="1:142" x14ac:dyDescent="0.4">
      <c r="A28" s="21">
        <v>114</v>
      </c>
      <c r="B28" s="21" t="s">
        <v>94</v>
      </c>
      <c r="C28" s="21">
        <v>21.892489000000001</v>
      </c>
      <c r="D28" s="21">
        <v>620386.19999999995</v>
      </c>
      <c r="E28" s="21">
        <v>6082482.4000000004</v>
      </c>
      <c r="F28" s="21">
        <v>764.1</v>
      </c>
      <c r="G28" s="21">
        <v>19</v>
      </c>
      <c r="H28" s="21">
        <v>0</v>
      </c>
      <c r="I28" s="21">
        <v>12.27</v>
      </c>
      <c r="J28" s="21">
        <v>0</v>
      </c>
      <c r="K28" s="21">
        <v>100</v>
      </c>
      <c r="L28" s="21">
        <v>3</v>
      </c>
      <c r="M28" s="21">
        <v>100</v>
      </c>
      <c r="N28" s="21">
        <v>1</v>
      </c>
      <c r="O28" s="35">
        <v>9</v>
      </c>
      <c r="P28" s="21">
        <v>90</v>
      </c>
      <c r="Q28" s="4">
        <v>781.16</v>
      </c>
      <c r="R28" s="4">
        <v>30.899999619999999</v>
      </c>
      <c r="S28" s="89">
        <f t="shared" si="0"/>
        <v>9.2025000000000006</v>
      </c>
      <c r="T28" s="90">
        <f t="shared" si="1"/>
        <v>3.4412021192905757</v>
      </c>
      <c r="U28" s="91">
        <f t="shared" si="2"/>
        <v>531.73540748271887</v>
      </c>
      <c r="V28" s="91">
        <f t="shared" si="3"/>
        <v>415370.43090920063</v>
      </c>
      <c r="W28" s="87">
        <f t="shared" si="4"/>
        <v>4153704309.0920062</v>
      </c>
      <c r="X28" s="90">
        <f t="shared" si="5"/>
        <v>4.1537043090920065</v>
      </c>
      <c r="Y28" s="87">
        <f t="shared" si="6"/>
        <v>0.5</v>
      </c>
      <c r="Z28" s="87">
        <f t="shared" si="7"/>
        <v>11.74</v>
      </c>
      <c r="AA28" s="87">
        <f t="shared" si="8"/>
        <v>0.33600000000000002</v>
      </c>
      <c r="AB28" s="90">
        <f t="shared" si="9"/>
        <v>8.8159948251525011E-2</v>
      </c>
      <c r="AC28" s="91">
        <f t="shared" si="10"/>
        <v>0</v>
      </c>
      <c r="AD28" s="91">
        <f t="shared" si="11"/>
        <v>0</v>
      </c>
      <c r="AE28" s="91">
        <f t="shared" si="12"/>
        <v>1.3119039918381696</v>
      </c>
      <c r="AF28" s="91">
        <f t="shared" si="13"/>
        <v>3.9357119755145087</v>
      </c>
      <c r="AG28" s="87">
        <f t="shared" si="14"/>
        <v>0</v>
      </c>
      <c r="AH28" s="87">
        <f t="shared" si="15"/>
        <v>1</v>
      </c>
      <c r="AI28" s="92">
        <f t="shared" si="16"/>
        <v>9</v>
      </c>
      <c r="AJ28" s="87">
        <f t="shared" si="17"/>
        <v>9.2025000000000006</v>
      </c>
      <c r="AK28" s="87">
        <f t="shared" si="18"/>
        <v>447.47172550497629</v>
      </c>
      <c r="AL28" s="87">
        <f t="shared" si="19"/>
        <v>0</v>
      </c>
      <c r="AM28" s="87">
        <f t="shared" si="20"/>
        <v>9.2025000000000006E-4</v>
      </c>
      <c r="AN28" s="92">
        <f t="shared" si="21"/>
        <v>3.8224463904419194E-3</v>
      </c>
      <c r="AO28" s="87">
        <f t="shared" si="22"/>
        <v>3822.4463904419194</v>
      </c>
      <c r="AP28" s="91">
        <f t="shared" si="23"/>
        <v>43.358083418291912</v>
      </c>
      <c r="AQ28" s="93">
        <f t="shared" si="24"/>
        <v>556.25231562169984</v>
      </c>
      <c r="AR28" s="93">
        <f t="shared" si="25"/>
        <v>1668.7569468650991</v>
      </c>
      <c r="AS28" s="91">
        <f t="shared" si="26"/>
        <v>7.3869306458792415E-3</v>
      </c>
      <c r="AT28" s="91">
        <f t="shared" si="27"/>
        <v>2.1441339402563052E-10</v>
      </c>
      <c r="AU28" s="91">
        <f t="shared" si="28"/>
        <v>0</v>
      </c>
      <c r="AV28" s="91">
        <f t="shared" si="29"/>
        <v>20.580585008161833</v>
      </c>
      <c r="AW28" s="91">
        <f t="shared" si="30"/>
        <v>17.956777024485493</v>
      </c>
      <c r="AX28" s="95">
        <f t="shared" si="31"/>
        <v>18.405000000000001</v>
      </c>
      <c r="AY28" s="90">
        <f t="shared" si="32"/>
        <v>3.4412021192905757</v>
      </c>
      <c r="AZ28" s="91">
        <f t="shared" si="33"/>
        <v>531.73540748271887</v>
      </c>
      <c r="BA28" s="91">
        <f t="shared" si="34"/>
        <v>415370.43090920063</v>
      </c>
      <c r="BB28" s="87">
        <f t="shared" si="35"/>
        <v>4153704309.0920062</v>
      </c>
      <c r="BC28" s="90">
        <f t="shared" si="36"/>
        <v>4.1537043090920065</v>
      </c>
      <c r="BD28" s="87">
        <f t="shared" si="37"/>
        <v>0.5</v>
      </c>
      <c r="BE28" s="87">
        <f t="shared" si="38"/>
        <v>11.74</v>
      </c>
      <c r="BF28" s="87">
        <f t="shared" si="39"/>
        <v>0.33600000000000002</v>
      </c>
      <c r="BG28" s="90">
        <f t="shared" si="40"/>
        <v>0.17631989650305002</v>
      </c>
      <c r="BH28" s="91">
        <f t="shared" si="41"/>
        <v>0</v>
      </c>
      <c r="BI28" s="91">
        <f t="shared" si="42"/>
        <v>0</v>
      </c>
      <c r="BJ28" s="91">
        <f t="shared" si="43"/>
        <v>2.6238079836763393</v>
      </c>
      <c r="BK28" s="91">
        <f t="shared" si="44"/>
        <v>7.8714239510290174</v>
      </c>
      <c r="BL28" s="87">
        <f t="shared" si="45"/>
        <v>0</v>
      </c>
      <c r="BM28" s="87">
        <f t="shared" si="46"/>
        <v>1</v>
      </c>
      <c r="BN28" s="92">
        <f t="shared" si="47"/>
        <v>9</v>
      </c>
      <c r="BO28" s="87">
        <f t="shared" si="48"/>
        <v>18.405000000000001</v>
      </c>
      <c r="BP28" s="87">
        <f t="shared" si="49"/>
        <v>447.47172550497629</v>
      </c>
      <c r="BQ28" s="87">
        <f t="shared" si="50"/>
        <v>0</v>
      </c>
      <c r="BR28" s="87">
        <f t="shared" si="51"/>
        <v>1.8405000000000001E-3</v>
      </c>
      <c r="BS28" s="92">
        <f t="shared" si="52"/>
        <v>7.6448927808838388E-3</v>
      </c>
      <c r="BT28" s="87">
        <f t="shared" si="53"/>
        <v>7644.8927808838389</v>
      </c>
      <c r="BU28" s="91">
        <f t="shared" si="54"/>
        <v>43.358083418291912</v>
      </c>
      <c r="BV28" s="93">
        <f t="shared" si="55"/>
        <v>278.12615781084992</v>
      </c>
      <c r="BW28" s="93">
        <f t="shared" si="56"/>
        <v>834.37847343254953</v>
      </c>
      <c r="BX28" s="91">
        <f t="shared" si="57"/>
        <v>0.565935645766521</v>
      </c>
      <c r="BY28" s="91">
        <f t="shared" si="58"/>
        <v>9.6418638365008977E-5</v>
      </c>
      <c r="BZ28" s="91">
        <f t="shared" si="59"/>
        <v>0</v>
      </c>
      <c r="CA28" s="91">
        <f t="shared" si="60"/>
        <v>19.268681016323661</v>
      </c>
      <c r="CB28" s="91">
        <f t="shared" si="61"/>
        <v>14.021065048970984</v>
      </c>
      <c r="CC28" s="95">
        <f t="shared" si="62"/>
        <v>27.607500000000002</v>
      </c>
      <c r="CD28" s="90">
        <f t="shared" si="63"/>
        <v>3.4412021192905757</v>
      </c>
      <c r="CE28" s="91">
        <f t="shared" si="64"/>
        <v>531.73540748271887</v>
      </c>
      <c r="CF28" s="91">
        <f t="shared" si="65"/>
        <v>415370.43090920063</v>
      </c>
      <c r="CG28" s="87">
        <f t="shared" si="66"/>
        <v>4153704309.0920062</v>
      </c>
      <c r="CH28" s="90">
        <f t="shared" si="67"/>
        <v>4.1537043090920065</v>
      </c>
      <c r="CI28" s="87">
        <f t="shared" si="68"/>
        <v>0.5</v>
      </c>
      <c r="CJ28" s="87">
        <f t="shared" si="69"/>
        <v>11.74</v>
      </c>
      <c r="CK28" s="87">
        <f t="shared" si="70"/>
        <v>0.33600000000000002</v>
      </c>
      <c r="CL28" s="90">
        <f t="shared" si="71"/>
        <v>0.26447984475457503</v>
      </c>
      <c r="CM28" s="91">
        <f t="shared" si="72"/>
        <v>0</v>
      </c>
      <c r="CN28" s="91">
        <f t="shared" si="73"/>
        <v>0</v>
      </c>
      <c r="CO28" s="91">
        <f t="shared" si="74"/>
        <v>3.9357119755145091</v>
      </c>
      <c r="CP28" s="91">
        <f t="shared" si="75"/>
        <v>11.807135926543527</v>
      </c>
      <c r="CQ28" s="87">
        <f t="shared" si="76"/>
        <v>0</v>
      </c>
      <c r="CR28" s="87">
        <f t="shared" si="77"/>
        <v>1</v>
      </c>
      <c r="CS28" s="92">
        <f t="shared" si="78"/>
        <v>9</v>
      </c>
      <c r="CT28" s="87">
        <f t="shared" si="79"/>
        <v>27.607500000000002</v>
      </c>
      <c r="CU28" s="87">
        <f t="shared" si="80"/>
        <v>447.47172550497629</v>
      </c>
      <c r="CV28" s="87">
        <f t="shared" si="81"/>
        <v>0</v>
      </c>
      <c r="CW28" s="87">
        <f t="shared" si="82"/>
        <v>2.7607500000000002E-3</v>
      </c>
      <c r="CX28" s="92">
        <f t="shared" si="83"/>
        <v>1.1467339171325757E-2</v>
      </c>
      <c r="CY28" s="87">
        <f t="shared" si="84"/>
        <v>11467.339171325759</v>
      </c>
      <c r="CZ28" s="91">
        <f t="shared" si="85"/>
        <v>43.358083418291912</v>
      </c>
      <c r="DA28" s="93">
        <f t="shared" si="86"/>
        <v>185.41743854056659</v>
      </c>
      <c r="DB28" s="93">
        <f t="shared" si="87"/>
        <v>556.25231562169972</v>
      </c>
      <c r="DC28" s="91">
        <f t="shared" si="88"/>
        <v>2.4036324484256442</v>
      </c>
      <c r="DD28" s="91">
        <f t="shared" si="89"/>
        <v>7.3869306458792553E-3</v>
      </c>
      <c r="DE28" s="91">
        <f t="shared" si="90"/>
        <v>0</v>
      </c>
      <c r="DF28" s="91">
        <f t="shared" si="91"/>
        <v>17.956777024485493</v>
      </c>
      <c r="DG28" s="91">
        <f t="shared" si="92"/>
        <v>10.085353073456474</v>
      </c>
      <c r="DH28" s="95">
        <f t="shared" si="93"/>
        <v>36.81</v>
      </c>
      <c r="DI28" s="90">
        <f t="shared" si="94"/>
        <v>3.4412021192905757</v>
      </c>
      <c r="DJ28" s="91">
        <f t="shared" si="95"/>
        <v>531.73540748271887</v>
      </c>
      <c r="DK28" s="91">
        <f t="shared" si="96"/>
        <v>415370.43090920063</v>
      </c>
      <c r="DL28" s="87">
        <f t="shared" si="97"/>
        <v>4153704309.0920062</v>
      </c>
      <c r="DM28" s="90">
        <f t="shared" si="98"/>
        <v>4.1537043090920065</v>
      </c>
      <c r="DN28" s="87">
        <f t="shared" si="99"/>
        <v>0.5</v>
      </c>
      <c r="DO28" s="87">
        <f t="shared" si="100"/>
        <v>11.74</v>
      </c>
      <c r="DP28" s="87">
        <f t="shared" si="101"/>
        <v>0.33600000000000002</v>
      </c>
      <c r="DQ28" s="90">
        <f t="shared" si="102"/>
        <v>0.35263979300610004</v>
      </c>
      <c r="DR28" s="91">
        <f t="shared" si="103"/>
        <v>0</v>
      </c>
      <c r="DS28" s="91">
        <f t="shared" si="104"/>
        <v>0</v>
      </c>
      <c r="DT28" s="91">
        <f t="shared" si="105"/>
        <v>5.2476159673526785</v>
      </c>
      <c r="DU28" s="91">
        <f t="shared" si="106"/>
        <v>15.742847902058035</v>
      </c>
      <c r="DV28" s="87">
        <f t="shared" si="107"/>
        <v>0</v>
      </c>
      <c r="DW28" s="87">
        <f t="shared" si="108"/>
        <v>1</v>
      </c>
      <c r="DX28" s="92">
        <f t="shared" si="109"/>
        <v>9</v>
      </c>
      <c r="DY28" s="87">
        <f t="shared" si="110"/>
        <v>36.81</v>
      </c>
      <c r="DZ28" s="87">
        <f t="shared" si="111"/>
        <v>447.47172550497629</v>
      </c>
      <c r="EA28" s="87">
        <f t="shared" si="112"/>
        <v>0</v>
      </c>
      <c r="EB28" s="87">
        <f t="shared" si="113"/>
        <v>3.6810000000000002E-3</v>
      </c>
      <c r="EC28" s="92">
        <f t="shared" si="114"/>
        <v>1.5289785561767678E-2</v>
      </c>
      <c r="ED28" s="87">
        <f t="shared" si="115"/>
        <v>15289.785561767678</v>
      </c>
      <c r="EE28" s="91">
        <f t="shared" si="116"/>
        <v>43.358083418291912</v>
      </c>
      <c r="EF28" s="93">
        <f t="shared" si="117"/>
        <v>139.06307890542496</v>
      </c>
      <c r="EG28" s="93">
        <f t="shared" si="118"/>
        <v>417.18923671627476</v>
      </c>
      <c r="EH28" s="91">
        <f t="shared" si="119"/>
        <v>4.9535729467253953</v>
      </c>
      <c r="EI28" s="91">
        <f t="shared" si="120"/>
        <v>6.4656997806178562E-2</v>
      </c>
      <c r="EJ28" s="91">
        <f t="shared" si="121"/>
        <v>0</v>
      </c>
      <c r="EK28" s="91">
        <f t="shared" si="122"/>
        <v>16.644873032647322</v>
      </c>
      <c r="EL28" s="91">
        <f t="shared" si="123"/>
        <v>6.1496410979419664</v>
      </c>
    </row>
    <row r="29" spans="1:142" x14ac:dyDescent="0.4">
      <c r="A29" s="21">
        <v>73</v>
      </c>
      <c r="B29" s="21" t="s">
        <v>94</v>
      </c>
      <c r="C29" s="21">
        <v>91.868313000000001</v>
      </c>
      <c r="D29" s="21">
        <v>619825.4</v>
      </c>
      <c r="E29" s="21">
        <v>6081554.7999999998</v>
      </c>
      <c r="F29" s="21">
        <v>765.3</v>
      </c>
      <c r="G29" s="21">
        <v>14</v>
      </c>
      <c r="H29" s="21">
        <v>0</v>
      </c>
      <c r="I29" s="21">
        <v>43</v>
      </c>
      <c r="J29" s="21">
        <v>0</v>
      </c>
      <c r="K29" s="21">
        <v>100</v>
      </c>
      <c r="L29" s="21">
        <v>3.3</v>
      </c>
      <c r="M29" s="21">
        <v>100</v>
      </c>
      <c r="N29" s="21">
        <v>0</v>
      </c>
      <c r="O29" s="35">
        <v>10</v>
      </c>
      <c r="P29" s="21">
        <v>90</v>
      </c>
      <c r="Q29" s="4">
        <v>781.16</v>
      </c>
      <c r="R29" s="4">
        <v>30.899999619999999</v>
      </c>
      <c r="S29" s="89">
        <f t="shared" si="0"/>
        <v>35.475000000000001</v>
      </c>
      <c r="T29" s="90">
        <f t="shared" si="1"/>
        <v>2.9294544238463396</v>
      </c>
      <c r="U29" s="91">
        <f t="shared" si="2"/>
        <v>488.39549515554648</v>
      </c>
      <c r="V29" s="91">
        <f t="shared" si="3"/>
        <v>381515.02499570668</v>
      </c>
      <c r="W29" s="87">
        <f t="shared" si="4"/>
        <v>3815150249.957067</v>
      </c>
      <c r="X29" s="90">
        <f t="shared" si="5"/>
        <v>3.8151502499570671</v>
      </c>
      <c r="Y29" s="87">
        <f t="shared" si="6"/>
        <v>0.5</v>
      </c>
      <c r="Z29" s="87">
        <f t="shared" si="7"/>
        <v>11.74</v>
      </c>
      <c r="AA29" s="87">
        <f t="shared" si="8"/>
        <v>0.33600000000000002</v>
      </c>
      <c r="AB29" s="90">
        <f t="shared" si="9"/>
        <v>0.33985049325975003</v>
      </c>
      <c r="AC29" s="91">
        <f t="shared" si="10"/>
        <v>0</v>
      </c>
      <c r="AD29" s="91">
        <f t="shared" si="11"/>
        <v>0</v>
      </c>
      <c r="AE29" s="91">
        <f t="shared" si="12"/>
        <v>5.057299006841518</v>
      </c>
      <c r="AF29" s="91">
        <f t="shared" si="13"/>
        <v>15.171897020524554</v>
      </c>
      <c r="AG29" s="87">
        <f t="shared" si="14"/>
        <v>0</v>
      </c>
      <c r="AH29" s="87">
        <f t="shared" si="15"/>
        <v>0</v>
      </c>
      <c r="AI29" s="92">
        <f t="shared" si="16"/>
        <v>10</v>
      </c>
      <c r="AJ29" s="87">
        <f t="shared" si="17"/>
        <v>35.475000000000001</v>
      </c>
      <c r="AK29" s="87">
        <f t="shared" si="18"/>
        <v>403.1139338200544</v>
      </c>
      <c r="AL29" s="87">
        <f t="shared" si="19"/>
        <v>0</v>
      </c>
      <c r="AM29" s="87">
        <f t="shared" si="20"/>
        <v>3.5475000000000003E-3</v>
      </c>
      <c r="AN29" s="92">
        <f t="shared" si="21"/>
        <v>1.3534245511722698E-2</v>
      </c>
      <c r="AO29" s="87">
        <f t="shared" si="22"/>
        <v>13534.245511722698</v>
      </c>
      <c r="AP29" s="91">
        <f t="shared" si="23"/>
        <v>39.824116133850609</v>
      </c>
      <c r="AQ29" s="93">
        <f t="shared" si="24"/>
        <v>605.51632321073942</v>
      </c>
      <c r="AR29" s="93">
        <f t="shared" si="25"/>
        <v>1816.5489696322184</v>
      </c>
      <c r="AS29" s="91">
        <f t="shared" si="26"/>
        <v>3.1461305430115125E-3</v>
      </c>
      <c r="AT29" s="91">
        <f t="shared" si="27"/>
        <v>1.9635317371599333E-11</v>
      </c>
      <c r="AU29" s="91">
        <f t="shared" si="28"/>
        <v>0</v>
      </c>
      <c r="AV29" s="91">
        <f t="shared" si="29"/>
        <v>86.811013993158483</v>
      </c>
      <c r="AW29" s="91">
        <f t="shared" si="30"/>
        <v>76.696415979475447</v>
      </c>
      <c r="AX29" s="95">
        <f t="shared" si="31"/>
        <v>70.95</v>
      </c>
      <c r="AY29" s="90">
        <f t="shared" si="32"/>
        <v>2.9294544238463396</v>
      </c>
      <c r="AZ29" s="91">
        <f t="shared" si="33"/>
        <v>488.39549515554648</v>
      </c>
      <c r="BA29" s="91">
        <f t="shared" si="34"/>
        <v>381515.02499570668</v>
      </c>
      <c r="BB29" s="87">
        <f t="shared" si="35"/>
        <v>3815150249.957067</v>
      </c>
      <c r="BC29" s="90">
        <f t="shared" si="36"/>
        <v>3.8151502499570671</v>
      </c>
      <c r="BD29" s="87">
        <f t="shared" si="37"/>
        <v>0.5</v>
      </c>
      <c r="BE29" s="87">
        <f t="shared" si="38"/>
        <v>11.74</v>
      </c>
      <c r="BF29" s="87">
        <f t="shared" si="39"/>
        <v>0.33600000000000002</v>
      </c>
      <c r="BG29" s="90">
        <f t="shared" si="40"/>
        <v>0.67970098651950006</v>
      </c>
      <c r="BH29" s="91">
        <f t="shared" si="41"/>
        <v>0</v>
      </c>
      <c r="BI29" s="91">
        <f t="shared" si="42"/>
        <v>0</v>
      </c>
      <c r="BJ29" s="91">
        <f t="shared" si="43"/>
        <v>10.114598013683036</v>
      </c>
      <c r="BK29" s="91">
        <f t="shared" si="44"/>
        <v>30.343794041049108</v>
      </c>
      <c r="BL29" s="87">
        <f t="shared" si="45"/>
        <v>0</v>
      </c>
      <c r="BM29" s="87">
        <f t="shared" si="46"/>
        <v>0</v>
      </c>
      <c r="BN29" s="92">
        <f t="shared" si="47"/>
        <v>10</v>
      </c>
      <c r="BO29" s="87">
        <f t="shared" si="48"/>
        <v>70.95</v>
      </c>
      <c r="BP29" s="87">
        <f t="shared" si="49"/>
        <v>403.1139338200544</v>
      </c>
      <c r="BQ29" s="87">
        <f t="shared" si="50"/>
        <v>0</v>
      </c>
      <c r="BR29" s="87">
        <f t="shared" si="51"/>
        <v>7.0950000000000006E-3</v>
      </c>
      <c r="BS29" s="92">
        <f t="shared" si="52"/>
        <v>2.7068491023445395E-2</v>
      </c>
      <c r="BT29" s="87">
        <f t="shared" si="53"/>
        <v>27068.491023445396</v>
      </c>
      <c r="BU29" s="91">
        <f t="shared" si="54"/>
        <v>39.824116133850609</v>
      </c>
      <c r="BV29" s="93">
        <f t="shared" si="55"/>
        <v>302.75816160536971</v>
      </c>
      <c r="BW29" s="93">
        <f t="shared" si="56"/>
        <v>908.27448481610918</v>
      </c>
      <c r="BX29" s="91">
        <f t="shared" si="57"/>
        <v>0.35396591377863623</v>
      </c>
      <c r="BY29" s="91">
        <f t="shared" si="58"/>
        <v>2.7963532669024245E-5</v>
      </c>
      <c r="BZ29" s="91">
        <f t="shared" si="59"/>
        <v>0</v>
      </c>
      <c r="CA29" s="91">
        <f t="shared" si="60"/>
        <v>81.753714986316965</v>
      </c>
      <c r="CB29" s="91">
        <f t="shared" si="61"/>
        <v>61.524518958950893</v>
      </c>
      <c r="CC29" s="95">
        <f t="shared" si="62"/>
        <v>106.42500000000001</v>
      </c>
      <c r="CD29" s="90">
        <f t="shared" si="63"/>
        <v>2.9294544238463396</v>
      </c>
      <c r="CE29" s="91">
        <f t="shared" si="64"/>
        <v>488.39549515554648</v>
      </c>
      <c r="CF29" s="91">
        <f t="shared" si="65"/>
        <v>381515.02499570668</v>
      </c>
      <c r="CG29" s="87">
        <f t="shared" si="66"/>
        <v>3815150249.957067</v>
      </c>
      <c r="CH29" s="90">
        <f t="shared" si="67"/>
        <v>3.8151502499570671</v>
      </c>
      <c r="CI29" s="87">
        <f t="shared" si="68"/>
        <v>0.5</v>
      </c>
      <c r="CJ29" s="87">
        <f t="shared" si="69"/>
        <v>11.74</v>
      </c>
      <c r="CK29" s="87">
        <f t="shared" si="70"/>
        <v>0.33600000000000002</v>
      </c>
      <c r="CL29" s="90">
        <f t="shared" si="71"/>
        <v>1.0195514797792502</v>
      </c>
      <c r="CM29" s="91">
        <f t="shared" si="72"/>
        <v>0</v>
      </c>
      <c r="CN29" s="91">
        <f t="shared" si="73"/>
        <v>0</v>
      </c>
      <c r="CO29" s="91">
        <f t="shared" si="74"/>
        <v>15.171897020524556</v>
      </c>
      <c r="CP29" s="91">
        <f t="shared" si="75"/>
        <v>45.515691061573669</v>
      </c>
      <c r="CQ29" s="87">
        <f t="shared" si="76"/>
        <v>0</v>
      </c>
      <c r="CR29" s="87">
        <f t="shared" si="77"/>
        <v>0</v>
      </c>
      <c r="CS29" s="92">
        <f t="shared" si="78"/>
        <v>10</v>
      </c>
      <c r="CT29" s="87">
        <f t="shared" si="79"/>
        <v>106.42500000000001</v>
      </c>
      <c r="CU29" s="87">
        <f t="shared" si="80"/>
        <v>403.1139338200544</v>
      </c>
      <c r="CV29" s="87">
        <f t="shared" si="81"/>
        <v>0</v>
      </c>
      <c r="CW29" s="87">
        <f t="shared" si="82"/>
        <v>1.0642500000000001E-2</v>
      </c>
      <c r="CX29" s="92">
        <f t="shared" si="83"/>
        <v>4.0602736535168091E-2</v>
      </c>
      <c r="CY29" s="87">
        <f t="shared" si="84"/>
        <v>40602.736535168093</v>
      </c>
      <c r="CZ29" s="91">
        <f t="shared" si="85"/>
        <v>39.824116133850602</v>
      </c>
      <c r="DA29" s="93">
        <f t="shared" si="86"/>
        <v>201.83877440357975</v>
      </c>
      <c r="DB29" s="93">
        <f t="shared" si="87"/>
        <v>605.5163232107393</v>
      </c>
      <c r="DC29" s="91">
        <f t="shared" si="88"/>
        <v>1.7087938676726497</v>
      </c>
      <c r="DD29" s="91">
        <f t="shared" si="89"/>
        <v>3.1461305430115173E-3</v>
      </c>
      <c r="DE29" s="91">
        <f t="shared" si="90"/>
        <v>0</v>
      </c>
      <c r="DF29" s="91">
        <f t="shared" si="91"/>
        <v>76.696415979475447</v>
      </c>
      <c r="DG29" s="91">
        <f t="shared" si="92"/>
        <v>46.352621938426331</v>
      </c>
      <c r="DH29" s="95">
        <f t="shared" si="93"/>
        <v>141.9</v>
      </c>
      <c r="DI29" s="90">
        <f t="shared" si="94"/>
        <v>2.9294544238463396</v>
      </c>
      <c r="DJ29" s="91">
        <f t="shared" si="95"/>
        <v>488.39549515554648</v>
      </c>
      <c r="DK29" s="91">
        <f t="shared" si="96"/>
        <v>381515.02499570668</v>
      </c>
      <c r="DL29" s="87">
        <f t="shared" si="97"/>
        <v>3815150249.957067</v>
      </c>
      <c r="DM29" s="90">
        <f t="shared" si="98"/>
        <v>3.8151502499570671</v>
      </c>
      <c r="DN29" s="87">
        <f t="shared" si="99"/>
        <v>0.5</v>
      </c>
      <c r="DO29" s="87">
        <f t="shared" si="100"/>
        <v>11.74</v>
      </c>
      <c r="DP29" s="87">
        <f t="shared" si="101"/>
        <v>0.33600000000000002</v>
      </c>
      <c r="DQ29" s="90">
        <f t="shared" si="102"/>
        <v>1.3594019730390001</v>
      </c>
      <c r="DR29" s="91">
        <f t="shared" si="103"/>
        <v>0</v>
      </c>
      <c r="DS29" s="91">
        <f t="shared" si="104"/>
        <v>0</v>
      </c>
      <c r="DT29" s="91">
        <f t="shared" si="105"/>
        <v>20.229196027366072</v>
      </c>
      <c r="DU29" s="91">
        <f t="shared" si="106"/>
        <v>60.687588082098216</v>
      </c>
      <c r="DV29" s="87">
        <f t="shared" si="107"/>
        <v>0</v>
      </c>
      <c r="DW29" s="87">
        <f t="shared" si="108"/>
        <v>0</v>
      </c>
      <c r="DX29" s="92">
        <f t="shared" si="109"/>
        <v>10</v>
      </c>
      <c r="DY29" s="87">
        <f t="shared" si="110"/>
        <v>141.9</v>
      </c>
      <c r="DZ29" s="87">
        <f t="shared" si="111"/>
        <v>403.1139338200544</v>
      </c>
      <c r="EA29" s="87">
        <f t="shared" si="112"/>
        <v>0</v>
      </c>
      <c r="EB29" s="87">
        <f t="shared" si="113"/>
        <v>1.4190000000000001E-2</v>
      </c>
      <c r="EC29" s="92">
        <f t="shared" si="114"/>
        <v>5.413698204689079E-2</v>
      </c>
      <c r="ED29" s="87">
        <f t="shared" si="115"/>
        <v>54136.982046890793</v>
      </c>
      <c r="EE29" s="91">
        <f t="shared" si="116"/>
        <v>39.824116133850609</v>
      </c>
      <c r="EF29" s="93">
        <f t="shared" si="117"/>
        <v>151.37908080268485</v>
      </c>
      <c r="EG29" s="93">
        <f t="shared" si="118"/>
        <v>454.13724240805459</v>
      </c>
      <c r="EH29" s="91">
        <f t="shared" si="119"/>
        <v>3.7545145701867986</v>
      </c>
      <c r="EI29" s="91">
        <f t="shared" si="120"/>
        <v>3.3370989984175578E-2</v>
      </c>
      <c r="EJ29" s="91">
        <f t="shared" si="121"/>
        <v>0</v>
      </c>
      <c r="EK29" s="91">
        <f t="shared" si="122"/>
        <v>71.639116972633929</v>
      </c>
      <c r="EL29" s="91">
        <f t="shared" si="123"/>
        <v>31.180724917901784</v>
      </c>
    </row>
    <row r="30" spans="1:142" x14ac:dyDescent="0.4">
      <c r="A30" s="21">
        <v>125</v>
      </c>
      <c r="B30" s="21" t="s">
        <v>94</v>
      </c>
      <c r="C30" s="21">
        <v>56.239874999999998</v>
      </c>
      <c r="D30" s="21">
        <v>620619.9</v>
      </c>
      <c r="E30" s="21">
        <v>6082655.5</v>
      </c>
      <c r="F30" s="21">
        <v>769</v>
      </c>
      <c r="G30" s="21">
        <v>14</v>
      </c>
      <c r="H30" s="21">
        <v>0</v>
      </c>
      <c r="I30" s="21">
        <v>57</v>
      </c>
      <c r="J30" s="21">
        <v>0</v>
      </c>
      <c r="K30" s="21">
        <v>100</v>
      </c>
      <c r="L30" s="21">
        <v>3.4</v>
      </c>
      <c r="M30" s="21">
        <v>100</v>
      </c>
      <c r="N30" s="21">
        <v>0</v>
      </c>
      <c r="O30" s="35">
        <v>4</v>
      </c>
      <c r="P30" s="21">
        <v>90</v>
      </c>
      <c r="Q30" s="4">
        <v>781.16</v>
      </c>
      <c r="R30" s="4">
        <v>30.899999619999999</v>
      </c>
      <c r="S30" s="89">
        <f t="shared" si="0"/>
        <v>48.449999999999996</v>
      </c>
      <c r="T30" s="90">
        <f t="shared" si="1"/>
        <v>2.9294544238463396</v>
      </c>
      <c r="U30" s="91">
        <f t="shared" si="2"/>
        <v>488.39549515554648</v>
      </c>
      <c r="V30" s="91">
        <f t="shared" si="3"/>
        <v>381515.02499570668</v>
      </c>
      <c r="W30" s="87">
        <f t="shared" si="4"/>
        <v>3815150249.957067</v>
      </c>
      <c r="X30" s="90">
        <f t="shared" si="5"/>
        <v>3.8151502499570671</v>
      </c>
      <c r="Y30" s="87">
        <f t="shared" si="6"/>
        <v>0.5</v>
      </c>
      <c r="Z30" s="87">
        <f t="shared" si="7"/>
        <v>11.74</v>
      </c>
      <c r="AA30" s="87">
        <f t="shared" si="8"/>
        <v>0.33600000000000002</v>
      </c>
      <c r="AB30" s="90">
        <f t="shared" si="9"/>
        <v>0.46415099079450001</v>
      </c>
      <c r="AC30" s="91">
        <f t="shared" si="10"/>
        <v>0</v>
      </c>
      <c r="AD30" s="91">
        <f t="shared" si="11"/>
        <v>0</v>
      </c>
      <c r="AE30" s="91">
        <f t="shared" si="12"/>
        <v>6.9070087915848211</v>
      </c>
      <c r="AF30" s="91">
        <f t="shared" si="13"/>
        <v>20.721026374754462</v>
      </c>
      <c r="AG30" s="87">
        <f t="shared" si="14"/>
        <v>0</v>
      </c>
      <c r="AH30" s="87">
        <f t="shared" si="15"/>
        <v>0</v>
      </c>
      <c r="AI30" s="92">
        <f t="shared" si="16"/>
        <v>4</v>
      </c>
      <c r="AJ30" s="87">
        <f t="shared" si="17"/>
        <v>48.449999999999996</v>
      </c>
      <c r="AK30" s="87">
        <f t="shared" si="18"/>
        <v>1003.4910918342573</v>
      </c>
      <c r="AL30" s="87">
        <f t="shared" si="19"/>
        <v>0</v>
      </c>
      <c r="AM30" s="87">
        <f t="shared" si="20"/>
        <v>4.8449999999999995E-3</v>
      </c>
      <c r="AN30" s="92">
        <f t="shared" si="21"/>
        <v>1.848440296104199E-2</v>
      </c>
      <c r="AO30" s="87">
        <f t="shared" si="22"/>
        <v>18484.402961041989</v>
      </c>
      <c r="AP30" s="91">
        <f t="shared" si="23"/>
        <v>39.824116133850602</v>
      </c>
      <c r="AQ30" s="93">
        <f t="shared" si="24"/>
        <v>271.41452350314103</v>
      </c>
      <c r="AR30" s="93">
        <f t="shared" si="25"/>
        <v>814.24357050942285</v>
      </c>
      <c r="AS30" s="91">
        <f t="shared" si="26"/>
        <v>0.57718415447972715</v>
      </c>
      <c r="AT30" s="91">
        <f t="shared" si="27"/>
        <v>1.2124139034296093E-4</v>
      </c>
      <c r="AU30" s="91">
        <f t="shared" si="28"/>
        <v>0</v>
      </c>
      <c r="AV30" s="91">
        <f t="shared" si="29"/>
        <v>49.332866208415176</v>
      </c>
      <c r="AW30" s="91">
        <f t="shared" si="30"/>
        <v>35.518848625245539</v>
      </c>
      <c r="AX30" s="95">
        <f t="shared" si="31"/>
        <v>96.899999999999991</v>
      </c>
      <c r="AY30" s="90">
        <f t="shared" si="32"/>
        <v>2.9294544238463396</v>
      </c>
      <c r="AZ30" s="91">
        <f t="shared" si="33"/>
        <v>488.39549515554648</v>
      </c>
      <c r="BA30" s="91">
        <f t="shared" si="34"/>
        <v>381515.02499570668</v>
      </c>
      <c r="BB30" s="87">
        <f t="shared" si="35"/>
        <v>3815150249.957067</v>
      </c>
      <c r="BC30" s="90">
        <f t="shared" si="36"/>
        <v>3.8151502499570671</v>
      </c>
      <c r="BD30" s="87">
        <f t="shared" si="37"/>
        <v>0.5</v>
      </c>
      <c r="BE30" s="87">
        <f t="shared" si="38"/>
        <v>11.74</v>
      </c>
      <c r="BF30" s="87">
        <f t="shared" si="39"/>
        <v>0.33600000000000002</v>
      </c>
      <c r="BG30" s="90">
        <f t="shared" si="40"/>
        <v>0.92830198158900001</v>
      </c>
      <c r="BH30" s="91">
        <f t="shared" si="41"/>
        <v>0</v>
      </c>
      <c r="BI30" s="91">
        <f t="shared" si="42"/>
        <v>0</v>
      </c>
      <c r="BJ30" s="91">
        <f t="shared" si="43"/>
        <v>13.814017583169642</v>
      </c>
      <c r="BK30" s="91">
        <f t="shared" si="44"/>
        <v>41.442052749508925</v>
      </c>
      <c r="BL30" s="87">
        <f t="shared" si="45"/>
        <v>0</v>
      </c>
      <c r="BM30" s="87">
        <f t="shared" si="46"/>
        <v>0</v>
      </c>
      <c r="BN30" s="92">
        <f t="shared" si="47"/>
        <v>4</v>
      </c>
      <c r="BO30" s="87">
        <f t="shared" si="48"/>
        <v>96.899999999999991</v>
      </c>
      <c r="BP30" s="87">
        <f t="shared" si="49"/>
        <v>1003.4910918342573</v>
      </c>
      <c r="BQ30" s="87">
        <f t="shared" si="50"/>
        <v>0</v>
      </c>
      <c r="BR30" s="87">
        <f t="shared" si="51"/>
        <v>9.689999999999999E-3</v>
      </c>
      <c r="BS30" s="92">
        <f t="shared" si="52"/>
        <v>3.6968805922083979E-2</v>
      </c>
      <c r="BT30" s="87">
        <f t="shared" si="53"/>
        <v>36968.805922083979</v>
      </c>
      <c r="BU30" s="91">
        <f t="shared" si="54"/>
        <v>39.824116133850602</v>
      </c>
      <c r="BV30" s="93">
        <f t="shared" si="55"/>
        <v>135.70726175157051</v>
      </c>
      <c r="BW30" s="93">
        <f t="shared" si="56"/>
        <v>407.12178525471143</v>
      </c>
      <c r="BX30" s="91">
        <f t="shared" si="57"/>
        <v>4.7943559315740236</v>
      </c>
      <c r="BY30" s="91">
        <f t="shared" si="58"/>
        <v>6.948619437879433E-2</v>
      </c>
      <c r="BZ30" s="91">
        <f t="shared" si="59"/>
        <v>0</v>
      </c>
      <c r="CA30" s="91">
        <f t="shared" si="60"/>
        <v>42.425857416830354</v>
      </c>
      <c r="CB30" s="91">
        <f t="shared" si="61"/>
        <v>14.797822250491073</v>
      </c>
      <c r="CC30" s="95">
        <f t="shared" si="62"/>
        <v>145.35</v>
      </c>
      <c r="CD30" s="90">
        <f t="shared" si="63"/>
        <v>2.9294544238463396</v>
      </c>
      <c r="CE30" s="91">
        <f t="shared" si="64"/>
        <v>488.39549515554648</v>
      </c>
      <c r="CF30" s="91">
        <f t="shared" si="65"/>
        <v>381515.02499570668</v>
      </c>
      <c r="CG30" s="87">
        <f t="shared" si="66"/>
        <v>3815150249.957067</v>
      </c>
      <c r="CH30" s="90">
        <f t="shared" si="67"/>
        <v>3.8151502499570671</v>
      </c>
      <c r="CI30" s="87">
        <f t="shared" si="68"/>
        <v>0.5</v>
      </c>
      <c r="CJ30" s="87">
        <f t="shared" si="69"/>
        <v>11.74</v>
      </c>
      <c r="CK30" s="87">
        <f t="shared" si="70"/>
        <v>0.33600000000000002</v>
      </c>
      <c r="CL30" s="90">
        <f t="shared" si="71"/>
        <v>1.3924529723835002</v>
      </c>
      <c r="CM30" s="91">
        <f t="shared" si="72"/>
        <v>0</v>
      </c>
      <c r="CN30" s="91">
        <f t="shared" si="73"/>
        <v>0.13267977238350015</v>
      </c>
      <c r="CO30" s="91">
        <f t="shared" si="74"/>
        <v>20.721026374754466</v>
      </c>
      <c r="CP30" s="91">
        <f t="shared" si="75"/>
        <v>62.163079124263398</v>
      </c>
      <c r="CQ30" s="87">
        <f t="shared" si="76"/>
        <v>0</v>
      </c>
      <c r="CR30" s="87">
        <f t="shared" si="77"/>
        <v>0</v>
      </c>
      <c r="CS30" s="92">
        <f t="shared" si="78"/>
        <v>4</v>
      </c>
      <c r="CT30" s="87">
        <f t="shared" si="79"/>
        <v>145.35</v>
      </c>
      <c r="CU30" s="87">
        <f t="shared" si="80"/>
        <v>1003.4910918342573</v>
      </c>
      <c r="CV30" s="87">
        <f t="shared" si="81"/>
        <v>0</v>
      </c>
      <c r="CW30" s="87">
        <f t="shared" si="82"/>
        <v>1.4534999999999999E-2</v>
      </c>
      <c r="CX30" s="92">
        <f t="shared" si="83"/>
        <v>5.5453208883125965E-2</v>
      </c>
      <c r="CY30" s="87">
        <f t="shared" si="84"/>
        <v>55453.208883125968</v>
      </c>
      <c r="CZ30" s="91">
        <f t="shared" si="85"/>
        <v>39.824116133850602</v>
      </c>
      <c r="DA30" s="93">
        <f t="shared" si="86"/>
        <v>90.471507834380333</v>
      </c>
      <c r="DB30" s="93">
        <f t="shared" si="87"/>
        <v>271.41452350314097</v>
      </c>
      <c r="DC30" s="91">
        <f t="shared" si="88"/>
        <v>9.709619931616265</v>
      </c>
      <c r="DD30" s="91">
        <f t="shared" si="89"/>
        <v>0.57718415447972771</v>
      </c>
      <c r="DE30" s="91">
        <f t="shared" si="90"/>
        <v>0</v>
      </c>
      <c r="DF30" s="91">
        <f t="shared" si="91"/>
        <v>35.518848625245532</v>
      </c>
      <c r="DG30" s="91">
        <f t="shared" si="92"/>
        <v>0</v>
      </c>
      <c r="DH30" s="95">
        <f t="shared" si="93"/>
        <v>193.79999999999998</v>
      </c>
      <c r="DI30" s="90">
        <f t="shared" si="94"/>
        <v>2.9294544238463396</v>
      </c>
      <c r="DJ30" s="91">
        <f t="shared" si="95"/>
        <v>488.39549515554648</v>
      </c>
      <c r="DK30" s="91">
        <f t="shared" si="96"/>
        <v>381515.02499570668</v>
      </c>
      <c r="DL30" s="87">
        <f t="shared" si="97"/>
        <v>3815150249.957067</v>
      </c>
      <c r="DM30" s="90">
        <f t="shared" si="98"/>
        <v>3.8151502499570671</v>
      </c>
      <c r="DN30" s="87">
        <f t="shared" si="99"/>
        <v>0.5</v>
      </c>
      <c r="DO30" s="87">
        <f t="shared" si="100"/>
        <v>11.74</v>
      </c>
      <c r="DP30" s="87">
        <f t="shared" si="101"/>
        <v>0.33600000000000002</v>
      </c>
      <c r="DQ30" s="90">
        <f t="shared" si="102"/>
        <v>1.856603963178</v>
      </c>
      <c r="DR30" s="91">
        <f t="shared" si="103"/>
        <v>0</v>
      </c>
      <c r="DS30" s="91">
        <f t="shared" si="104"/>
        <v>0.59683076317799988</v>
      </c>
      <c r="DT30" s="91">
        <f t="shared" si="105"/>
        <v>27.628035166339284</v>
      </c>
      <c r="DU30" s="91">
        <f t="shared" si="106"/>
        <v>82.884105499017849</v>
      </c>
      <c r="DV30" s="87">
        <f t="shared" si="107"/>
        <v>0</v>
      </c>
      <c r="DW30" s="87">
        <f t="shared" si="108"/>
        <v>0</v>
      </c>
      <c r="DX30" s="92">
        <f t="shared" si="109"/>
        <v>4</v>
      </c>
      <c r="DY30" s="87">
        <f t="shared" si="110"/>
        <v>193.79999999999998</v>
      </c>
      <c r="DZ30" s="87">
        <f t="shared" si="111"/>
        <v>1003.4910918342573</v>
      </c>
      <c r="EA30" s="87">
        <f t="shared" si="112"/>
        <v>0</v>
      </c>
      <c r="EB30" s="87">
        <f t="shared" si="113"/>
        <v>1.9379999999999998E-2</v>
      </c>
      <c r="EC30" s="92">
        <f t="shared" si="114"/>
        <v>7.3937611844167958E-2</v>
      </c>
      <c r="ED30" s="87">
        <f t="shared" si="115"/>
        <v>73937.611844167957</v>
      </c>
      <c r="EE30" s="91">
        <f t="shared" si="116"/>
        <v>39.824116133850602</v>
      </c>
      <c r="EF30" s="93">
        <f t="shared" si="117"/>
        <v>67.853630875785257</v>
      </c>
      <c r="EG30" s="93">
        <f t="shared" si="118"/>
        <v>203.56089262735571</v>
      </c>
      <c r="EH30" s="91">
        <f t="shared" si="119"/>
        <v>13.817777947485602</v>
      </c>
      <c r="EI30" s="91">
        <f t="shared" si="120"/>
        <v>1.6634982039787185</v>
      </c>
      <c r="EJ30" s="91">
        <f t="shared" si="121"/>
        <v>0</v>
      </c>
      <c r="EK30" s="91">
        <f t="shared" si="122"/>
        <v>28.611839833660714</v>
      </c>
      <c r="EL30" s="91">
        <f t="shared" si="123"/>
        <v>0</v>
      </c>
    </row>
    <row r="31" spans="1:142" x14ac:dyDescent="0.4">
      <c r="A31" s="21">
        <v>109</v>
      </c>
      <c r="B31" s="21" t="s">
        <v>94</v>
      </c>
      <c r="C31" s="21">
        <v>49.578721000000002</v>
      </c>
      <c r="D31" s="21">
        <v>620304.4</v>
      </c>
      <c r="E31" s="21">
        <v>6082461.0999999996</v>
      </c>
      <c r="F31" s="21">
        <v>771</v>
      </c>
      <c r="G31" s="21">
        <v>17</v>
      </c>
      <c r="H31" s="21">
        <v>0</v>
      </c>
      <c r="I31" s="21">
        <v>39.200000000000003</v>
      </c>
      <c r="J31" s="21">
        <v>0</v>
      </c>
      <c r="K31" s="21">
        <v>100</v>
      </c>
      <c r="L31" s="21">
        <v>3.7</v>
      </c>
      <c r="M31" s="21">
        <v>100</v>
      </c>
      <c r="N31" s="21">
        <v>0</v>
      </c>
      <c r="O31" s="35">
        <v>11</v>
      </c>
      <c r="P31" s="21">
        <v>90</v>
      </c>
      <c r="Q31" s="4">
        <v>781.16</v>
      </c>
      <c r="R31" s="4">
        <v>30.899999619999999</v>
      </c>
      <c r="S31" s="89">
        <f t="shared" si="0"/>
        <v>36.260000000000005</v>
      </c>
      <c r="T31" s="90">
        <f t="shared" si="1"/>
        <v>3.2456920022533735</v>
      </c>
      <c r="U31" s="91">
        <f t="shared" si="2"/>
        <v>515.17765567083813</v>
      </c>
      <c r="V31" s="91">
        <f t="shared" si="3"/>
        <v>402436.17750383192</v>
      </c>
      <c r="W31" s="87">
        <f t="shared" si="4"/>
        <v>4024361775.0383191</v>
      </c>
      <c r="X31" s="90">
        <f t="shared" si="5"/>
        <v>4.0243617750383187</v>
      </c>
      <c r="Y31" s="87">
        <f t="shared" si="6"/>
        <v>0.5</v>
      </c>
      <c r="Z31" s="87">
        <f t="shared" si="7"/>
        <v>11.74</v>
      </c>
      <c r="AA31" s="87">
        <f t="shared" si="8"/>
        <v>0.33600000000000002</v>
      </c>
      <c r="AB31" s="90">
        <f t="shared" si="9"/>
        <v>0.34737079311060004</v>
      </c>
      <c r="AC31" s="91">
        <f t="shared" si="10"/>
        <v>0</v>
      </c>
      <c r="AD31" s="91">
        <f t="shared" si="11"/>
        <v>0</v>
      </c>
      <c r="AE31" s="91">
        <f t="shared" si="12"/>
        <v>5.1692082308125</v>
      </c>
      <c r="AF31" s="91">
        <f t="shared" si="13"/>
        <v>15.507624692437499</v>
      </c>
      <c r="AG31" s="87">
        <f t="shared" si="14"/>
        <v>0</v>
      </c>
      <c r="AH31" s="87">
        <f t="shared" si="15"/>
        <v>0</v>
      </c>
      <c r="AI31" s="92">
        <f t="shared" si="16"/>
        <v>11</v>
      </c>
      <c r="AJ31" s="87">
        <f t="shared" si="17"/>
        <v>36.260000000000005</v>
      </c>
      <c r="AK31" s="87">
        <f t="shared" si="18"/>
        <v>366.85901449174941</v>
      </c>
      <c r="AL31" s="87">
        <f t="shared" si="19"/>
        <v>0</v>
      </c>
      <c r="AM31" s="87">
        <f t="shared" si="20"/>
        <v>3.6260000000000003E-3</v>
      </c>
      <c r="AN31" s="92">
        <f t="shared" si="21"/>
        <v>1.4592335796288944E-2</v>
      </c>
      <c r="AO31" s="87">
        <f t="shared" si="22"/>
        <v>14592.335796288944</v>
      </c>
      <c r="AP31" s="91">
        <f t="shared" si="23"/>
        <v>42.007952555881296</v>
      </c>
      <c r="AQ31" s="93">
        <f t="shared" si="24"/>
        <v>319.70544801859779</v>
      </c>
      <c r="AR31" s="93">
        <f t="shared" si="25"/>
        <v>959.11634405579332</v>
      </c>
      <c r="AS31" s="91">
        <f t="shared" si="26"/>
        <v>0.28663488748395777</v>
      </c>
      <c r="AT31" s="91">
        <f t="shared" si="27"/>
        <v>1.3345170213432218E-5</v>
      </c>
      <c r="AU31" s="91">
        <f t="shared" si="28"/>
        <v>0</v>
      </c>
      <c r="AV31" s="91">
        <f t="shared" si="29"/>
        <v>44.409512769187501</v>
      </c>
      <c r="AW31" s="91">
        <f t="shared" si="30"/>
        <v>34.071096307562499</v>
      </c>
      <c r="AX31" s="95">
        <f t="shared" si="31"/>
        <v>72.52000000000001</v>
      </c>
      <c r="AY31" s="90">
        <f t="shared" si="32"/>
        <v>3.2456920022533735</v>
      </c>
      <c r="AZ31" s="91">
        <f t="shared" si="33"/>
        <v>515.17765567083813</v>
      </c>
      <c r="BA31" s="91">
        <f t="shared" si="34"/>
        <v>402436.17750383192</v>
      </c>
      <c r="BB31" s="87">
        <f t="shared" si="35"/>
        <v>4024361775.0383191</v>
      </c>
      <c r="BC31" s="90">
        <f t="shared" si="36"/>
        <v>4.0243617750383187</v>
      </c>
      <c r="BD31" s="87">
        <f t="shared" si="37"/>
        <v>0.5</v>
      </c>
      <c r="BE31" s="87">
        <f t="shared" si="38"/>
        <v>11.74</v>
      </c>
      <c r="BF31" s="87">
        <f t="shared" si="39"/>
        <v>0.33600000000000002</v>
      </c>
      <c r="BG31" s="90">
        <f t="shared" si="40"/>
        <v>0.69474158622120008</v>
      </c>
      <c r="BH31" s="91">
        <f t="shared" si="41"/>
        <v>0</v>
      </c>
      <c r="BI31" s="91">
        <f t="shared" si="42"/>
        <v>0</v>
      </c>
      <c r="BJ31" s="91">
        <f t="shared" si="43"/>
        <v>10.338416461625</v>
      </c>
      <c r="BK31" s="91">
        <f t="shared" si="44"/>
        <v>31.015249384874998</v>
      </c>
      <c r="BL31" s="87">
        <f t="shared" si="45"/>
        <v>0</v>
      </c>
      <c r="BM31" s="87">
        <f t="shared" si="46"/>
        <v>0</v>
      </c>
      <c r="BN31" s="92">
        <f t="shared" si="47"/>
        <v>11</v>
      </c>
      <c r="BO31" s="87">
        <f t="shared" si="48"/>
        <v>72.52000000000001</v>
      </c>
      <c r="BP31" s="87">
        <f t="shared" si="49"/>
        <v>366.85901449174941</v>
      </c>
      <c r="BQ31" s="87">
        <f t="shared" si="50"/>
        <v>0</v>
      </c>
      <c r="BR31" s="87">
        <f t="shared" si="51"/>
        <v>7.2520000000000006E-3</v>
      </c>
      <c r="BS31" s="92">
        <f t="shared" si="52"/>
        <v>2.9184671592577888E-2</v>
      </c>
      <c r="BT31" s="87">
        <f t="shared" si="53"/>
        <v>29184.671592577888</v>
      </c>
      <c r="BU31" s="91">
        <f t="shared" si="54"/>
        <v>42.007952555881296</v>
      </c>
      <c r="BV31" s="93">
        <f t="shared" si="55"/>
        <v>159.8527240092989</v>
      </c>
      <c r="BW31" s="93">
        <f t="shared" si="56"/>
        <v>479.55817202789666</v>
      </c>
      <c r="BX31" s="91">
        <f t="shared" si="57"/>
        <v>3.4700064487384559</v>
      </c>
      <c r="BY31" s="91">
        <f t="shared" si="58"/>
        <v>2.3677062258143873E-2</v>
      </c>
      <c r="BZ31" s="91">
        <f t="shared" si="59"/>
        <v>0</v>
      </c>
      <c r="CA31" s="91">
        <f t="shared" si="60"/>
        <v>39.240304538375</v>
      </c>
      <c r="CB31" s="91">
        <f t="shared" si="61"/>
        <v>18.563471615125003</v>
      </c>
      <c r="CC31" s="95">
        <f t="shared" si="62"/>
        <v>108.78000000000002</v>
      </c>
      <c r="CD31" s="90">
        <f t="shared" si="63"/>
        <v>3.2456920022533735</v>
      </c>
      <c r="CE31" s="91">
        <f t="shared" si="64"/>
        <v>515.17765567083813</v>
      </c>
      <c r="CF31" s="91">
        <f t="shared" si="65"/>
        <v>402436.17750383192</v>
      </c>
      <c r="CG31" s="87">
        <f t="shared" si="66"/>
        <v>4024361775.0383191</v>
      </c>
      <c r="CH31" s="90">
        <f t="shared" si="67"/>
        <v>4.0243617750383187</v>
      </c>
      <c r="CI31" s="87">
        <f t="shared" si="68"/>
        <v>0.5</v>
      </c>
      <c r="CJ31" s="87">
        <f t="shared" si="69"/>
        <v>11.74</v>
      </c>
      <c r="CK31" s="87">
        <f t="shared" si="70"/>
        <v>0.33600000000000002</v>
      </c>
      <c r="CL31" s="90">
        <f t="shared" si="71"/>
        <v>1.0421123793318001</v>
      </c>
      <c r="CM31" s="91">
        <f t="shared" si="72"/>
        <v>0</v>
      </c>
      <c r="CN31" s="91">
        <f t="shared" si="73"/>
        <v>0</v>
      </c>
      <c r="CO31" s="91">
        <f t="shared" si="74"/>
        <v>15.507624692437501</v>
      </c>
      <c r="CP31" s="91">
        <f t="shared" si="75"/>
        <v>46.522874077312501</v>
      </c>
      <c r="CQ31" s="87">
        <f t="shared" si="76"/>
        <v>0</v>
      </c>
      <c r="CR31" s="87">
        <f t="shared" si="77"/>
        <v>0</v>
      </c>
      <c r="CS31" s="92">
        <f t="shared" si="78"/>
        <v>11</v>
      </c>
      <c r="CT31" s="87">
        <f t="shared" si="79"/>
        <v>108.78000000000002</v>
      </c>
      <c r="CU31" s="87">
        <f t="shared" si="80"/>
        <v>366.85901449174941</v>
      </c>
      <c r="CV31" s="87">
        <f t="shared" si="81"/>
        <v>0</v>
      </c>
      <c r="CW31" s="87">
        <f t="shared" si="82"/>
        <v>1.0878000000000002E-2</v>
      </c>
      <c r="CX31" s="92">
        <f t="shared" si="83"/>
        <v>4.3777007388866841E-2</v>
      </c>
      <c r="CY31" s="87">
        <f t="shared" si="84"/>
        <v>43777.007388866841</v>
      </c>
      <c r="CZ31" s="91">
        <f t="shared" si="85"/>
        <v>42.007952555881303</v>
      </c>
      <c r="DA31" s="93">
        <f t="shared" si="86"/>
        <v>106.56848267286591</v>
      </c>
      <c r="DB31" s="93">
        <f t="shared" si="87"/>
        <v>319.70544801859774</v>
      </c>
      <c r="DC31" s="91">
        <f t="shared" si="88"/>
        <v>7.9676581558240898</v>
      </c>
      <c r="DD31" s="91">
        <f t="shared" si="89"/>
        <v>0.2866348874839581</v>
      </c>
      <c r="DE31" s="91">
        <f t="shared" si="90"/>
        <v>0</v>
      </c>
      <c r="DF31" s="91">
        <f t="shared" si="91"/>
        <v>34.071096307562499</v>
      </c>
      <c r="DG31" s="91">
        <f t="shared" si="92"/>
        <v>3.0558469226875005</v>
      </c>
      <c r="DH31" s="95">
        <f t="shared" si="93"/>
        <v>145.04000000000002</v>
      </c>
      <c r="DI31" s="90">
        <f t="shared" si="94"/>
        <v>3.2456920022533735</v>
      </c>
      <c r="DJ31" s="91">
        <f t="shared" si="95"/>
        <v>515.17765567083813</v>
      </c>
      <c r="DK31" s="91">
        <f t="shared" si="96"/>
        <v>402436.17750383192</v>
      </c>
      <c r="DL31" s="87">
        <f t="shared" si="97"/>
        <v>4024361775.0383191</v>
      </c>
      <c r="DM31" s="90">
        <f t="shared" si="98"/>
        <v>4.0243617750383187</v>
      </c>
      <c r="DN31" s="87">
        <f t="shared" si="99"/>
        <v>0.5</v>
      </c>
      <c r="DO31" s="87">
        <f t="shared" si="100"/>
        <v>11.74</v>
      </c>
      <c r="DP31" s="87">
        <f t="shared" si="101"/>
        <v>0.33600000000000002</v>
      </c>
      <c r="DQ31" s="90">
        <f t="shared" si="102"/>
        <v>1.3894831724424002</v>
      </c>
      <c r="DR31" s="91">
        <f t="shared" si="103"/>
        <v>0</v>
      </c>
      <c r="DS31" s="91">
        <f t="shared" si="104"/>
        <v>0.27891982204239996</v>
      </c>
      <c r="DT31" s="91">
        <f t="shared" si="105"/>
        <v>20.67683292325</v>
      </c>
      <c r="DU31" s="91">
        <f t="shared" si="106"/>
        <v>62.030498769749997</v>
      </c>
      <c r="DV31" s="87">
        <f t="shared" si="107"/>
        <v>0</v>
      </c>
      <c r="DW31" s="87">
        <f t="shared" si="108"/>
        <v>0</v>
      </c>
      <c r="DX31" s="92">
        <f t="shared" si="109"/>
        <v>11</v>
      </c>
      <c r="DY31" s="87">
        <f t="shared" si="110"/>
        <v>145.04000000000002</v>
      </c>
      <c r="DZ31" s="87">
        <f t="shared" si="111"/>
        <v>366.85901449174941</v>
      </c>
      <c r="EA31" s="87">
        <f t="shared" si="112"/>
        <v>0</v>
      </c>
      <c r="EB31" s="87">
        <f t="shared" si="113"/>
        <v>1.4504000000000001E-2</v>
      </c>
      <c r="EC31" s="92">
        <f t="shared" si="114"/>
        <v>5.8369343185155777E-2</v>
      </c>
      <c r="ED31" s="87">
        <f t="shared" si="115"/>
        <v>58369.343185155776</v>
      </c>
      <c r="EE31" s="91">
        <f t="shared" si="116"/>
        <v>42.007952555881296</v>
      </c>
      <c r="EF31" s="93">
        <f t="shared" si="117"/>
        <v>79.926362004649448</v>
      </c>
      <c r="EG31" s="93">
        <f t="shared" si="118"/>
        <v>239.77908601394833</v>
      </c>
      <c r="EH31" s="91">
        <f t="shared" si="119"/>
        <v>12.073436390158653</v>
      </c>
      <c r="EI31" s="91">
        <f t="shared" si="120"/>
        <v>0.99730883281095806</v>
      </c>
      <c r="EJ31" s="91">
        <f t="shared" si="121"/>
        <v>0</v>
      </c>
      <c r="EK31" s="91">
        <f t="shared" si="122"/>
        <v>28.901888076750001</v>
      </c>
      <c r="EL31" s="91">
        <f t="shared" si="123"/>
        <v>0</v>
      </c>
    </row>
    <row r="32" spans="1:142" x14ac:dyDescent="0.4">
      <c r="A32" s="21">
        <v>74</v>
      </c>
      <c r="B32" s="21" t="s">
        <v>94</v>
      </c>
      <c r="C32" s="21">
        <v>56.854332999999997</v>
      </c>
      <c r="D32" s="21">
        <v>619840.80000000005</v>
      </c>
      <c r="E32" s="21">
        <v>6081595.2999999998</v>
      </c>
      <c r="F32" s="21">
        <v>773.6</v>
      </c>
      <c r="G32" s="21">
        <v>19</v>
      </c>
      <c r="H32" s="21">
        <v>0</v>
      </c>
      <c r="I32" s="21">
        <v>19.97</v>
      </c>
      <c r="J32" s="21">
        <v>0</v>
      </c>
      <c r="K32" s="21">
        <v>100</v>
      </c>
      <c r="L32" s="21">
        <v>3.6</v>
      </c>
      <c r="M32" s="21">
        <v>100</v>
      </c>
      <c r="N32" s="21">
        <v>0</v>
      </c>
      <c r="O32" s="35">
        <v>18</v>
      </c>
      <c r="P32" s="21">
        <v>90</v>
      </c>
      <c r="Q32" s="4">
        <v>781.16</v>
      </c>
      <c r="R32" s="4">
        <v>30.899999619999999</v>
      </c>
      <c r="S32" s="89">
        <f t="shared" si="0"/>
        <v>17.972999999999999</v>
      </c>
      <c r="T32" s="90">
        <f t="shared" si="1"/>
        <v>3.4412021192905757</v>
      </c>
      <c r="U32" s="91">
        <f t="shared" si="2"/>
        <v>531.73540748271887</v>
      </c>
      <c r="V32" s="91">
        <f t="shared" si="3"/>
        <v>415370.43090920063</v>
      </c>
      <c r="W32" s="87">
        <f t="shared" si="4"/>
        <v>4153704309.0920062</v>
      </c>
      <c r="X32" s="90">
        <f t="shared" si="5"/>
        <v>4.1537043090920065</v>
      </c>
      <c r="Y32" s="87">
        <f t="shared" si="6"/>
        <v>0.5</v>
      </c>
      <c r="Z32" s="87">
        <f t="shared" si="7"/>
        <v>11.74</v>
      </c>
      <c r="AA32" s="87">
        <f t="shared" si="8"/>
        <v>0.33600000000000002</v>
      </c>
      <c r="AB32" s="90">
        <f t="shared" si="9"/>
        <v>0.17218133658512999</v>
      </c>
      <c r="AC32" s="91">
        <f t="shared" si="10"/>
        <v>0</v>
      </c>
      <c r="AD32" s="91">
        <f t="shared" si="11"/>
        <v>0</v>
      </c>
      <c r="AE32" s="91">
        <f t="shared" si="12"/>
        <v>2.5622222706120534</v>
      </c>
      <c r="AF32" s="91">
        <f t="shared" si="13"/>
        <v>7.6866668118361599</v>
      </c>
      <c r="AG32" s="87">
        <f t="shared" si="14"/>
        <v>0</v>
      </c>
      <c r="AH32" s="87">
        <f t="shared" si="15"/>
        <v>0</v>
      </c>
      <c r="AI32" s="92">
        <f t="shared" si="16"/>
        <v>18</v>
      </c>
      <c r="AJ32" s="87">
        <f t="shared" si="17"/>
        <v>17.972999999999999</v>
      </c>
      <c r="AK32" s="87">
        <f t="shared" si="18"/>
        <v>226.52475842498529</v>
      </c>
      <c r="AL32" s="87">
        <f t="shared" si="19"/>
        <v>0</v>
      </c>
      <c r="AM32" s="87">
        <f t="shared" si="20"/>
        <v>1.7972999999999999E-3</v>
      </c>
      <c r="AN32" s="92">
        <f t="shared" si="21"/>
        <v>7.4654527547310633E-3</v>
      </c>
      <c r="AO32" s="87">
        <f t="shared" si="22"/>
        <v>7465.4527547310636</v>
      </c>
      <c r="AP32" s="91">
        <f t="shared" si="23"/>
        <v>43.358083418291912</v>
      </c>
      <c r="AQ32" s="93">
        <f t="shared" si="24"/>
        <v>739.64872410566818</v>
      </c>
      <c r="AR32" s="93">
        <f t="shared" si="25"/>
        <v>2218.9461723170043</v>
      </c>
      <c r="AS32" s="91">
        <f t="shared" si="26"/>
        <v>4.2262430496612502E-4</v>
      </c>
      <c r="AT32" s="91">
        <f t="shared" si="27"/>
        <v>4.0153486011243428E-14</v>
      </c>
      <c r="AU32" s="91">
        <f t="shared" si="28"/>
        <v>0</v>
      </c>
      <c r="AV32" s="91">
        <f t="shared" si="29"/>
        <v>54.292110729387943</v>
      </c>
      <c r="AW32" s="91">
        <f t="shared" si="30"/>
        <v>49.167666188163835</v>
      </c>
      <c r="AX32" s="95">
        <f t="shared" si="31"/>
        <v>35.945999999999998</v>
      </c>
      <c r="AY32" s="90">
        <f t="shared" si="32"/>
        <v>3.4412021192905757</v>
      </c>
      <c r="AZ32" s="91">
        <f t="shared" si="33"/>
        <v>531.73540748271887</v>
      </c>
      <c r="BA32" s="91">
        <f t="shared" si="34"/>
        <v>415370.43090920063</v>
      </c>
      <c r="BB32" s="87">
        <f t="shared" si="35"/>
        <v>4153704309.0920062</v>
      </c>
      <c r="BC32" s="90">
        <f t="shared" si="36"/>
        <v>4.1537043090920065</v>
      </c>
      <c r="BD32" s="87">
        <f t="shared" si="37"/>
        <v>0.5</v>
      </c>
      <c r="BE32" s="87">
        <f t="shared" si="38"/>
        <v>11.74</v>
      </c>
      <c r="BF32" s="87">
        <f t="shared" si="39"/>
        <v>0.33600000000000002</v>
      </c>
      <c r="BG32" s="90">
        <f t="shared" si="40"/>
        <v>0.34436267317025998</v>
      </c>
      <c r="BH32" s="91">
        <f t="shared" si="41"/>
        <v>0</v>
      </c>
      <c r="BI32" s="91">
        <f t="shared" si="42"/>
        <v>0</v>
      </c>
      <c r="BJ32" s="91">
        <f t="shared" si="43"/>
        <v>5.1244445412241069</v>
      </c>
      <c r="BK32" s="91">
        <f t="shared" si="44"/>
        <v>15.37333362367232</v>
      </c>
      <c r="BL32" s="87">
        <f t="shared" si="45"/>
        <v>0</v>
      </c>
      <c r="BM32" s="87">
        <f t="shared" si="46"/>
        <v>0</v>
      </c>
      <c r="BN32" s="92">
        <f t="shared" si="47"/>
        <v>18</v>
      </c>
      <c r="BO32" s="87">
        <f t="shared" si="48"/>
        <v>35.945999999999998</v>
      </c>
      <c r="BP32" s="87">
        <f t="shared" si="49"/>
        <v>226.52475842498529</v>
      </c>
      <c r="BQ32" s="87">
        <f t="shared" si="50"/>
        <v>0</v>
      </c>
      <c r="BR32" s="87">
        <f t="shared" si="51"/>
        <v>3.5945999999999999E-3</v>
      </c>
      <c r="BS32" s="92">
        <f t="shared" si="52"/>
        <v>1.4930905509462127E-2</v>
      </c>
      <c r="BT32" s="87">
        <f t="shared" si="53"/>
        <v>14930.905509462127</v>
      </c>
      <c r="BU32" s="91">
        <f t="shared" si="54"/>
        <v>43.358083418291912</v>
      </c>
      <c r="BV32" s="93">
        <f t="shared" si="55"/>
        <v>369.82436205283409</v>
      </c>
      <c r="BW32" s="93">
        <f t="shared" si="56"/>
        <v>1109.4730861585022</v>
      </c>
      <c r="BX32" s="91">
        <f t="shared" si="57"/>
        <v>0.13536683445112724</v>
      </c>
      <c r="BY32" s="91">
        <f t="shared" si="58"/>
        <v>1.3194613279708921E-6</v>
      </c>
      <c r="BZ32" s="91">
        <f t="shared" si="59"/>
        <v>0</v>
      </c>
      <c r="CA32" s="91">
        <f t="shared" si="60"/>
        <v>51.729888458775889</v>
      </c>
      <c r="CB32" s="91">
        <f t="shared" si="61"/>
        <v>41.480999376327674</v>
      </c>
      <c r="CC32" s="95">
        <f t="shared" si="62"/>
        <v>53.918999999999997</v>
      </c>
      <c r="CD32" s="90">
        <f t="shared" si="63"/>
        <v>3.4412021192905757</v>
      </c>
      <c r="CE32" s="91">
        <f t="shared" si="64"/>
        <v>531.73540748271887</v>
      </c>
      <c r="CF32" s="91">
        <f t="shared" si="65"/>
        <v>415370.43090920063</v>
      </c>
      <c r="CG32" s="87">
        <f t="shared" si="66"/>
        <v>4153704309.0920062</v>
      </c>
      <c r="CH32" s="90">
        <f t="shared" si="67"/>
        <v>4.1537043090920065</v>
      </c>
      <c r="CI32" s="87">
        <f t="shared" si="68"/>
        <v>0.5</v>
      </c>
      <c r="CJ32" s="87">
        <f t="shared" si="69"/>
        <v>11.74</v>
      </c>
      <c r="CK32" s="87">
        <f t="shared" si="70"/>
        <v>0.33600000000000002</v>
      </c>
      <c r="CL32" s="90">
        <f t="shared" si="71"/>
        <v>0.51654400975538994</v>
      </c>
      <c r="CM32" s="91">
        <f t="shared" si="72"/>
        <v>0</v>
      </c>
      <c r="CN32" s="91">
        <f t="shared" si="73"/>
        <v>0</v>
      </c>
      <c r="CO32" s="91">
        <f t="shared" si="74"/>
        <v>7.686666811836159</v>
      </c>
      <c r="CP32" s="91">
        <f t="shared" si="75"/>
        <v>23.060000435508478</v>
      </c>
      <c r="CQ32" s="87">
        <f t="shared" si="76"/>
        <v>0</v>
      </c>
      <c r="CR32" s="87">
        <f t="shared" si="77"/>
        <v>0</v>
      </c>
      <c r="CS32" s="92">
        <f t="shared" si="78"/>
        <v>18</v>
      </c>
      <c r="CT32" s="87">
        <f t="shared" si="79"/>
        <v>53.918999999999997</v>
      </c>
      <c r="CU32" s="87">
        <f t="shared" si="80"/>
        <v>226.52475842498529</v>
      </c>
      <c r="CV32" s="87">
        <f t="shared" si="81"/>
        <v>0</v>
      </c>
      <c r="CW32" s="87">
        <f t="shared" si="82"/>
        <v>5.3918999999999998E-3</v>
      </c>
      <c r="CX32" s="92">
        <f t="shared" si="83"/>
        <v>2.239635826419319E-2</v>
      </c>
      <c r="CY32" s="87">
        <f t="shared" si="84"/>
        <v>22396.35826419319</v>
      </c>
      <c r="CZ32" s="91">
        <f t="shared" si="85"/>
        <v>43.358083418291912</v>
      </c>
      <c r="DA32" s="93">
        <f t="shared" si="86"/>
        <v>246.54957470188941</v>
      </c>
      <c r="DB32" s="93">
        <f t="shared" si="87"/>
        <v>739.64872410566829</v>
      </c>
      <c r="DC32" s="91">
        <f t="shared" si="88"/>
        <v>0.92618599052777373</v>
      </c>
      <c r="DD32" s="91">
        <f t="shared" si="89"/>
        <v>4.2262430496612426E-4</v>
      </c>
      <c r="DE32" s="91">
        <f t="shared" si="90"/>
        <v>0</v>
      </c>
      <c r="DF32" s="91">
        <f t="shared" si="91"/>
        <v>49.167666188163835</v>
      </c>
      <c r="DG32" s="91">
        <f t="shared" si="92"/>
        <v>33.794332564491519</v>
      </c>
      <c r="DH32" s="95">
        <f t="shared" si="93"/>
        <v>71.891999999999996</v>
      </c>
      <c r="DI32" s="90">
        <f t="shared" si="94"/>
        <v>3.4412021192905757</v>
      </c>
      <c r="DJ32" s="91">
        <f t="shared" si="95"/>
        <v>531.73540748271887</v>
      </c>
      <c r="DK32" s="91">
        <f t="shared" si="96"/>
        <v>415370.43090920063</v>
      </c>
      <c r="DL32" s="87">
        <f t="shared" si="97"/>
        <v>4153704309.0920062</v>
      </c>
      <c r="DM32" s="90">
        <f t="shared" si="98"/>
        <v>4.1537043090920065</v>
      </c>
      <c r="DN32" s="87">
        <f t="shared" si="99"/>
        <v>0.5</v>
      </c>
      <c r="DO32" s="87">
        <f t="shared" si="100"/>
        <v>11.74</v>
      </c>
      <c r="DP32" s="87">
        <f t="shared" si="101"/>
        <v>0.33600000000000002</v>
      </c>
      <c r="DQ32" s="90">
        <f t="shared" si="102"/>
        <v>0.68872534634051996</v>
      </c>
      <c r="DR32" s="91">
        <f t="shared" si="103"/>
        <v>0</v>
      </c>
      <c r="DS32" s="91">
        <f t="shared" si="104"/>
        <v>0</v>
      </c>
      <c r="DT32" s="91">
        <f t="shared" si="105"/>
        <v>10.248889082448214</v>
      </c>
      <c r="DU32" s="91">
        <f t="shared" si="106"/>
        <v>30.746667247344639</v>
      </c>
      <c r="DV32" s="87">
        <f t="shared" si="107"/>
        <v>0</v>
      </c>
      <c r="DW32" s="87">
        <f t="shared" si="108"/>
        <v>0</v>
      </c>
      <c r="DX32" s="92">
        <f t="shared" si="109"/>
        <v>18</v>
      </c>
      <c r="DY32" s="87">
        <f t="shared" si="110"/>
        <v>71.891999999999996</v>
      </c>
      <c r="DZ32" s="87">
        <f t="shared" si="111"/>
        <v>226.52475842498529</v>
      </c>
      <c r="EA32" s="87">
        <f t="shared" si="112"/>
        <v>0</v>
      </c>
      <c r="EB32" s="87">
        <f t="shared" si="113"/>
        <v>7.1891999999999998E-3</v>
      </c>
      <c r="EC32" s="92">
        <f t="shared" si="114"/>
        <v>2.9861811018924253E-2</v>
      </c>
      <c r="ED32" s="87">
        <f t="shared" si="115"/>
        <v>29861.811018924254</v>
      </c>
      <c r="EE32" s="91">
        <f t="shared" si="116"/>
        <v>43.358083418291912</v>
      </c>
      <c r="EF32" s="93">
        <f t="shared" si="117"/>
        <v>184.91218102641704</v>
      </c>
      <c r="EG32" s="93">
        <f t="shared" si="118"/>
        <v>554.73654307925108</v>
      </c>
      <c r="EH32" s="91">
        <f t="shared" si="119"/>
        <v>2.4226527816016241</v>
      </c>
      <c r="EI32" s="91">
        <f t="shared" si="120"/>
        <v>7.5636839123123167E-3</v>
      </c>
      <c r="EJ32" s="91">
        <f t="shared" si="121"/>
        <v>0</v>
      </c>
      <c r="EK32" s="91">
        <f t="shared" si="122"/>
        <v>46.605443917551781</v>
      </c>
      <c r="EL32" s="91">
        <f t="shared" si="123"/>
        <v>26.107665752655357</v>
      </c>
    </row>
    <row r="33" spans="1:142" x14ac:dyDescent="0.4">
      <c r="A33" s="21">
        <v>126</v>
      </c>
      <c r="B33" s="21" t="s">
        <v>94</v>
      </c>
      <c r="C33" s="21">
        <v>56.864032999999999</v>
      </c>
      <c r="D33" s="21">
        <v>620662.19999999995</v>
      </c>
      <c r="E33" s="21">
        <v>6082617.4000000004</v>
      </c>
      <c r="F33" s="21">
        <v>776.6</v>
      </c>
      <c r="G33" s="21">
        <v>11</v>
      </c>
      <c r="H33" s="21">
        <v>0</v>
      </c>
      <c r="I33" s="21">
        <v>69</v>
      </c>
      <c r="J33" s="21">
        <v>0</v>
      </c>
      <c r="K33" s="21">
        <v>100</v>
      </c>
      <c r="L33" s="21">
        <v>2.9</v>
      </c>
      <c r="M33" s="21">
        <v>100</v>
      </c>
      <c r="N33" s="21">
        <v>1</v>
      </c>
      <c r="O33" s="35">
        <v>8</v>
      </c>
      <c r="P33" s="21">
        <v>90</v>
      </c>
      <c r="Q33" s="4">
        <v>781.16</v>
      </c>
      <c r="R33" s="4">
        <v>30.899999619999999</v>
      </c>
      <c r="S33" s="89">
        <f t="shared" si="0"/>
        <v>50.024999999999999</v>
      </c>
      <c r="T33" s="90">
        <f t="shared" si="1"/>
        <v>2.5942500198766076</v>
      </c>
      <c r="U33" s="91">
        <f t="shared" si="2"/>
        <v>460.0070341833499</v>
      </c>
      <c r="V33" s="91">
        <f t="shared" si="3"/>
        <v>359339.09482266562</v>
      </c>
      <c r="W33" s="87">
        <f t="shared" si="4"/>
        <v>3593390948.226656</v>
      </c>
      <c r="X33" s="90">
        <f t="shared" si="5"/>
        <v>3.5933909482266562</v>
      </c>
      <c r="Y33" s="87">
        <f t="shared" si="6"/>
        <v>0.5</v>
      </c>
      <c r="Z33" s="87">
        <f t="shared" si="7"/>
        <v>11.74</v>
      </c>
      <c r="AA33" s="87">
        <f t="shared" si="8"/>
        <v>0.33600000000000002</v>
      </c>
      <c r="AB33" s="90">
        <f t="shared" si="9"/>
        <v>0.47923949049525</v>
      </c>
      <c r="AC33" s="91">
        <f t="shared" si="10"/>
        <v>0</v>
      </c>
      <c r="AD33" s="91">
        <f t="shared" si="11"/>
        <v>0</v>
      </c>
      <c r="AE33" s="91">
        <f t="shared" si="12"/>
        <v>7.1315400371316962</v>
      </c>
      <c r="AF33" s="91">
        <f t="shared" si="13"/>
        <v>21.394620111395088</v>
      </c>
      <c r="AG33" s="87">
        <f t="shared" si="14"/>
        <v>0</v>
      </c>
      <c r="AH33" s="87">
        <f t="shared" si="15"/>
        <v>1</v>
      </c>
      <c r="AI33" s="92">
        <f t="shared" si="16"/>
        <v>8</v>
      </c>
      <c r="AJ33" s="87">
        <f t="shared" si="17"/>
        <v>50.024999999999999</v>
      </c>
      <c r="AK33" s="87">
        <f t="shared" si="18"/>
        <v>502.97075740294036</v>
      </c>
      <c r="AL33" s="87">
        <f t="shared" si="19"/>
        <v>0</v>
      </c>
      <c r="AM33" s="87">
        <f t="shared" si="20"/>
        <v>5.0025E-3</v>
      </c>
      <c r="AN33" s="92">
        <f t="shared" si="21"/>
        <v>1.7975938218503847E-2</v>
      </c>
      <c r="AO33" s="87">
        <f t="shared" si="22"/>
        <v>17975.938218503848</v>
      </c>
      <c r="AP33" s="91">
        <f t="shared" si="23"/>
        <v>37.509300829794654</v>
      </c>
      <c r="AQ33" s="93">
        <f t="shared" si="24"/>
        <v>265.78659823790645</v>
      </c>
      <c r="AR33" s="93">
        <f t="shared" si="25"/>
        <v>797.35979471371934</v>
      </c>
      <c r="AS33" s="91">
        <f t="shared" si="26"/>
        <v>0.59352140008051868</v>
      </c>
      <c r="AT33" s="91">
        <f t="shared" si="27"/>
        <v>1.4860424296183749E-4</v>
      </c>
      <c r="AU33" s="91">
        <f t="shared" si="28"/>
        <v>0</v>
      </c>
      <c r="AV33" s="91">
        <f t="shared" si="29"/>
        <v>49.732492962868307</v>
      </c>
      <c r="AW33" s="91">
        <f t="shared" si="30"/>
        <v>35.469412888604907</v>
      </c>
      <c r="AX33" s="95">
        <f t="shared" si="31"/>
        <v>100.05</v>
      </c>
      <c r="AY33" s="90">
        <f t="shared" si="32"/>
        <v>2.5942500198766076</v>
      </c>
      <c r="AZ33" s="91">
        <f t="shared" si="33"/>
        <v>460.0070341833499</v>
      </c>
      <c r="BA33" s="91">
        <f t="shared" si="34"/>
        <v>359339.09482266562</v>
      </c>
      <c r="BB33" s="87">
        <f t="shared" si="35"/>
        <v>3593390948.226656</v>
      </c>
      <c r="BC33" s="90">
        <f t="shared" si="36"/>
        <v>3.5933909482266562</v>
      </c>
      <c r="BD33" s="87">
        <f t="shared" si="37"/>
        <v>0.5</v>
      </c>
      <c r="BE33" s="87">
        <f t="shared" si="38"/>
        <v>11.74</v>
      </c>
      <c r="BF33" s="87">
        <f t="shared" si="39"/>
        <v>0.33600000000000002</v>
      </c>
      <c r="BG33" s="90">
        <f t="shared" si="40"/>
        <v>0.9584789809905</v>
      </c>
      <c r="BH33" s="91">
        <f t="shared" si="41"/>
        <v>0</v>
      </c>
      <c r="BI33" s="91">
        <f t="shared" si="42"/>
        <v>0</v>
      </c>
      <c r="BJ33" s="91">
        <f t="shared" si="43"/>
        <v>14.263080074263392</v>
      </c>
      <c r="BK33" s="91">
        <f t="shared" si="44"/>
        <v>42.789240222790177</v>
      </c>
      <c r="BL33" s="87">
        <f t="shared" si="45"/>
        <v>0</v>
      </c>
      <c r="BM33" s="87">
        <f t="shared" si="46"/>
        <v>1</v>
      </c>
      <c r="BN33" s="92">
        <f t="shared" si="47"/>
        <v>8</v>
      </c>
      <c r="BO33" s="87">
        <f t="shared" si="48"/>
        <v>100.05</v>
      </c>
      <c r="BP33" s="87">
        <f t="shared" si="49"/>
        <v>502.97075740294036</v>
      </c>
      <c r="BQ33" s="87">
        <f t="shared" si="50"/>
        <v>0</v>
      </c>
      <c r="BR33" s="87">
        <f t="shared" si="51"/>
        <v>1.0005E-2</v>
      </c>
      <c r="BS33" s="92">
        <f t="shared" si="52"/>
        <v>3.5951876437007695E-2</v>
      </c>
      <c r="BT33" s="87">
        <f t="shared" si="53"/>
        <v>35951.876437007697</v>
      </c>
      <c r="BU33" s="91">
        <f t="shared" si="54"/>
        <v>37.509300829794654</v>
      </c>
      <c r="BV33" s="93">
        <f t="shared" si="55"/>
        <v>132.89329911895322</v>
      </c>
      <c r="BW33" s="93">
        <f t="shared" si="56"/>
        <v>398.67989735685967</v>
      </c>
      <c r="BX33" s="91">
        <f t="shared" si="57"/>
        <v>4.7183230860699954</v>
      </c>
      <c r="BY33" s="91">
        <f t="shared" si="58"/>
        <v>7.4659502100130948E-2</v>
      </c>
      <c r="BZ33" s="91">
        <f t="shared" si="59"/>
        <v>0</v>
      </c>
      <c r="CA33" s="91">
        <f t="shared" si="60"/>
        <v>42.600952925736607</v>
      </c>
      <c r="CB33" s="91">
        <f t="shared" si="61"/>
        <v>14.074792777209822</v>
      </c>
      <c r="CC33" s="95">
        <f t="shared" si="62"/>
        <v>150.07499999999999</v>
      </c>
      <c r="CD33" s="90">
        <f t="shared" si="63"/>
        <v>2.5942500198766076</v>
      </c>
      <c r="CE33" s="91">
        <f t="shared" si="64"/>
        <v>460.0070341833499</v>
      </c>
      <c r="CF33" s="91">
        <f t="shared" si="65"/>
        <v>359339.09482266562</v>
      </c>
      <c r="CG33" s="87">
        <f t="shared" si="66"/>
        <v>3593390948.226656</v>
      </c>
      <c r="CH33" s="90">
        <f t="shared" si="67"/>
        <v>3.5933909482266562</v>
      </c>
      <c r="CI33" s="87">
        <f t="shared" si="68"/>
        <v>0.5</v>
      </c>
      <c r="CJ33" s="87">
        <f t="shared" si="69"/>
        <v>11.74</v>
      </c>
      <c r="CK33" s="87">
        <f t="shared" si="70"/>
        <v>0.33600000000000002</v>
      </c>
      <c r="CL33" s="90">
        <f t="shared" si="71"/>
        <v>1.4377184714857498</v>
      </c>
      <c r="CM33" s="91">
        <f t="shared" si="72"/>
        <v>0</v>
      </c>
      <c r="CN33" s="91">
        <f t="shared" si="73"/>
        <v>0.16396413228575002</v>
      </c>
      <c r="CO33" s="91">
        <f t="shared" si="74"/>
        <v>21.394620111395088</v>
      </c>
      <c r="CP33" s="91">
        <f t="shared" si="75"/>
        <v>64.183860334185269</v>
      </c>
      <c r="CQ33" s="87">
        <f t="shared" si="76"/>
        <v>0</v>
      </c>
      <c r="CR33" s="87">
        <f t="shared" si="77"/>
        <v>1</v>
      </c>
      <c r="CS33" s="92">
        <f t="shared" si="78"/>
        <v>8</v>
      </c>
      <c r="CT33" s="87">
        <f t="shared" si="79"/>
        <v>150.07499999999999</v>
      </c>
      <c r="CU33" s="87">
        <f t="shared" si="80"/>
        <v>502.97075740294036</v>
      </c>
      <c r="CV33" s="87">
        <f t="shared" si="81"/>
        <v>0.16396413228575002</v>
      </c>
      <c r="CW33" s="87">
        <f t="shared" si="82"/>
        <v>1.5007499999999998E-2</v>
      </c>
      <c r="CX33" s="92">
        <f t="shared" si="83"/>
        <v>5.3927814655511538E-2</v>
      </c>
      <c r="CY33" s="87">
        <f t="shared" si="84"/>
        <v>53927.814655511538</v>
      </c>
      <c r="CZ33" s="91">
        <f t="shared" si="85"/>
        <v>37.509300829794654</v>
      </c>
      <c r="DA33" s="93">
        <f t="shared" si="86"/>
        <v>88.595532745968825</v>
      </c>
      <c r="DB33" s="93">
        <f t="shared" si="87"/>
        <v>265.78659823790645</v>
      </c>
      <c r="DC33" s="91">
        <f t="shared" si="88"/>
        <v>9.4168309379920938</v>
      </c>
      <c r="DD33" s="91">
        <f t="shared" si="89"/>
        <v>0.59352140008051868</v>
      </c>
      <c r="DE33" s="91">
        <f t="shared" si="90"/>
        <v>1.5440225136294792</v>
      </c>
      <c r="DF33" s="91">
        <f t="shared" si="91"/>
        <v>35.469412888604907</v>
      </c>
      <c r="DG33" s="91">
        <f t="shared" si="92"/>
        <v>0</v>
      </c>
      <c r="DH33" s="95">
        <f t="shared" si="93"/>
        <v>200.1</v>
      </c>
      <c r="DI33" s="90">
        <f t="shared" si="94"/>
        <v>2.5942500198766076</v>
      </c>
      <c r="DJ33" s="91">
        <f t="shared" si="95"/>
        <v>460.0070341833499</v>
      </c>
      <c r="DK33" s="91">
        <f t="shared" si="96"/>
        <v>359339.09482266562</v>
      </c>
      <c r="DL33" s="87">
        <f t="shared" si="97"/>
        <v>3593390948.226656</v>
      </c>
      <c r="DM33" s="90">
        <f t="shared" si="98"/>
        <v>3.5933909482266562</v>
      </c>
      <c r="DN33" s="87">
        <f t="shared" si="99"/>
        <v>0.5</v>
      </c>
      <c r="DO33" s="87">
        <f t="shared" si="100"/>
        <v>11.74</v>
      </c>
      <c r="DP33" s="87">
        <f t="shared" si="101"/>
        <v>0.33600000000000002</v>
      </c>
      <c r="DQ33" s="90">
        <f t="shared" si="102"/>
        <v>1.916957961981</v>
      </c>
      <c r="DR33" s="91">
        <f t="shared" si="103"/>
        <v>0</v>
      </c>
      <c r="DS33" s="91">
        <f t="shared" si="104"/>
        <v>0.64320362278099996</v>
      </c>
      <c r="DT33" s="91">
        <f t="shared" si="105"/>
        <v>28.526160148526785</v>
      </c>
      <c r="DU33" s="91">
        <f t="shared" si="106"/>
        <v>85.578480445580354</v>
      </c>
      <c r="DV33" s="87">
        <f t="shared" si="107"/>
        <v>0</v>
      </c>
      <c r="DW33" s="87">
        <f t="shared" si="108"/>
        <v>1</v>
      </c>
      <c r="DX33" s="92">
        <f t="shared" si="109"/>
        <v>8</v>
      </c>
      <c r="DY33" s="87">
        <f t="shared" si="110"/>
        <v>200.1</v>
      </c>
      <c r="DZ33" s="87">
        <f t="shared" si="111"/>
        <v>502.97075740294036</v>
      </c>
      <c r="EA33" s="87">
        <f t="shared" si="112"/>
        <v>0.64320362278099996</v>
      </c>
      <c r="EB33" s="87">
        <f t="shared" si="113"/>
        <v>2.001E-2</v>
      </c>
      <c r="EC33" s="92">
        <f t="shared" si="114"/>
        <v>7.1903752874015389E-2</v>
      </c>
      <c r="ED33" s="87">
        <f t="shared" si="115"/>
        <v>71903.752874015394</v>
      </c>
      <c r="EE33" s="91">
        <f t="shared" si="116"/>
        <v>37.509300829794654</v>
      </c>
      <c r="EF33" s="93">
        <f t="shared" si="117"/>
        <v>66.446649559476612</v>
      </c>
      <c r="EG33" s="93">
        <f t="shared" si="118"/>
        <v>199.33994867842983</v>
      </c>
      <c r="EH33" s="91">
        <f t="shared" si="119"/>
        <v>13.303420614547393</v>
      </c>
      <c r="EI33" s="91">
        <f t="shared" si="120"/>
        <v>1.6734472576321304</v>
      </c>
      <c r="EJ33" s="91">
        <f t="shared" si="121"/>
        <v>8.5568083346563206</v>
      </c>
      <c r="EK33" s="91">
        <f t="shared" si="122"/>
        <v>28.337872851473215</v>
      </c>
      <c r="EL33" s="91">
        <f t="shared" si="123"/>
        <v>0</v>
      </c>
    </row>
    <row r="34" spans="1:142" x14ac:dyDescent="0.4">
      <c r="A34" s="21">
        <v>75</v>
      </c>
      <c r="B34" s="21" t="s">
        <v>94</v>
      </c>
      <c r="C34" s="21">
        <v>63.341642</v>
      </c>
      <c r="D34" s="21">
        <v>619848.19999999995</v>
      </c>
      <c r="E34" s="21">
        <v>6081616.2000000002</v>
      </c>
      <c r="F34" s="21">
        <v>777.3</v>
      </c>
      <c r="G34" s="21">
        <v>14</v>
      </c>
      <c r="H34" s="21">
        <v>0</v>
      </c>
      <c r="I34" s="21">
        <v>15.33</v>
      </c>
      <c r="J34" s="21">
        <v>0</v>
      </c>
      <c r="K34" s="21">
        <v>100</v>
      </c>
      <c r="L34" s="21">
        <v>4</v>
      </c>
      <c r="M34" s="21">
        <v>100</v>
      </c>
      <c r="N34" s="21">
        <v>0</v>
      </c>
      <c r="O34" s="35">
        <v>5</v>
      </c>
      <c r="P34" s="21">
        <v>90</v>
      </c>
      <c r="Q34" s="4">
        <v>781.16</v>
      </c>
      <c r="R34" s="4">
        <v>30.899999619999999</v>
      </c>
      <c r="S34" s="89">
        <f t="shared" si="0"/>
        <v>15.33</v>
      </c>
      <c r="T34" s="90">
        <f t="shared" si="1"/>
        <v>2.9294544238463396</v>
      </c>
      <c r="U34" s="91">
        <f t="shared" si="2"/>
        <v>488.39549515554648</v>
      </c>
      <c r="V34" s="91">
        <f t="shared" si="3"/>
        <v>381515.02499570668</v>
      </c>
      <c r="W34" s="87">
        <f t="shared" si="4"/>
        <v>3815150249.957067</v>
      </c>
      <c r="X34" s="90">
        <f t="shared" si="5"/>
        <v>3.8151502499570671</v>
      </c>
      <c r="Y34" s="87">
        <f t="shared" si="6"/>
        <v>0.5</v>
      </c>
      <c r="Z34" s="87">
        <f t="shared" si="7"/>
        <v>11.74</v>
      </c>
      <c r="AA34" s="87">
        <f t="shared" si="8"/>
        <v>0.33600000000000002</v>
      </c>
      <c r="AB34" s="90">
        <f t="shared" si="9"/>
        <v>0.14686139708730003</v>
      </c>
      <c r="AC34" s="91">
        <f t="shared" si="10"/>
        <v>0</v>
      </c>
      <c r="AD34" s="91">
        <f t="shared" si="11"/>
        <v>0</v>
      </c>
      <c r="AE34" s="91">
        <f t="shared" si="12"/>
        <v>2.1854374566562504</v>
      </c>
      <c r="AF34" s="91">
        <f t="shared" si="13"/>
        <v>6.5563123699687509</v>
      </c>
      <c r="AG34" s="87">
        <f t="shared" si="14"/>
        <v>0</v>
      </c>
      <c r="AH34" s="87">
        <f t="shared" si="15"/>
        <v>0</v>
      </c>
      <c r="AI34" s="92">
        <f t="shared" si="16"/>
        <v>5</v>
      </c>
      <c r="AJ34" s="87">
        <f t="shared" si="17"/>
        <v>15.33</v>
      </c>
      <c r="AK34" s="87">
        <f t="shared" si="18"/>
        <v>803.15992719688995</v>
      </c>
      <c r="AL34" s="87">
        <f t="shared" si="19"/>
        <v>0</v>
      </c>
      <c r="AM34" s="87">
        <f t="shared" si="20"/>
        <v>1.5330000000000001E-3</v>
      </c>
      <c r="AN34" s="92">
        <f t="shared" si="21"/>
        <v>5.8486253331841839E-3</v>
      </c>
      <c r="AO34" s="87">
        <f t="shared" si="22"/>
        <v>5848.6253331841835</v>
      </c>
      <c r="AP34" s="91">
        <f t="shared" si="23"/>
        <v>39.824116133850595</v>
      </c>
      <c r="AQ34" s="93">
        <f t="shared" si="24"/>
        <v>966.11690269879421</v>
      </c>
      <c r="AR34" s="93">
        <f t="shared" si="25"/>
        <v>2898.3507080963823</v>
      </c>
      <c r="AS34" s="91">
        <f t="shared" si="26"/>
        <v>1.1342531816954131E-5</v>
      </c>
      <c r="AT34" s="91">
        <f t="shared" si="27"/>
        <v>9.2010571253358547E-19</v>
      </c>
      <c r="AU34" s="91">
        <f t="shared" si="28"/>
        <v>0</v>
      </c>
      <c r="AV34" s="91">
        <f t="shared" si="29"/>
        <v>61.156204543343748</v>
      </c>
      <c r="AW34" s="91">
        <f t="shared" si="30"/>
        <v>56.785329630031249</v>
      </c>
      <c r="AX34" s="95">
        <f t="shared" si="31"/>
        <v>30.66</v>
      </c>
      <c r="AY34" s="90">
        <f t="shared" si="32"/>
        <v>2.9294544238463396</v>
      </c>
      <c r="AZ34" s="91">
        <f t="shared" si="33"/>
        <v>488.39549515554648</v>
      </c>
      <c r="BA34" s="91">
        <f t="shared" si="34"/>
        <v>381515.02499570668</v>
      </c>
      <c r="BB34" s="87">
        <f t="shared" si="35"/>
        <v>3815150249.957067</v>
      </c>
      <c r="BC34" s="90">
        <f t="shared" si="36"/>
        <v>3.8151502499570671</v>
      </c>
      <c r="BD34" s="87">
        <f t="shared" si="37"/>
        <v>0.5</v>
      </c>
      <c r="BE34" s="87">
        <f t="shared" si="38"/>
        <v>11.74</v>
      </c>
      <c r="BF34" s="87">
        <f t="shared" si="39"/>
        <v>0.33600000000000002</v>
      </c>
      <c r="BG34" s="90">
        <f t="shared" si="40"/>
        <v>0.29372279417460007</v>
      </c>
      <c r="BH34" s="91">
        <f t="shared" si="41"/>
        <v>0</v>
      </c>
      <c r="BI34" s="91">
        <f t="shared" si="42"/>
        <v>0</v>
      </c>
      <c r="BJ34" s="91">
        <f t="shared" si="43"/>
        <v>4.3708749133125009</v>
      </c>
      <c r="BK34" s="91">
        <f t="shared" si="44"/>
        <v>13.112624739937502</v>
      </c>
      <c r="BL34" s="87">
        <f t="shared" si="45"/>
        <v>0</v>
      </c>
      <c r="BM34" s="87">
        <f t="shared" si="46"/>
        <v>0</v>
      </c>
      <c r="BN34" s="92">
        <f t="shared" si="47"/>
        <v>5</v>
      </c>
      <c r="BO34" s="87">
        <f t="shared" si="48"/>
        <v>30.66</v>
      </c>
      <c r="BP34" s="87">
        <f t="shared" si="49"/>
        <v>803.15992719688995</v>
      </c>
      <c r="BQ34" s="87">
        <f t="shared" si="50"/>
        <v>0</v>
      </c>
      <c r="BR34" s="87">
        <f t="shared" si="51"/>
        <v>3.0660000000000001E-3</v>
      </c>
      <c r="BS34" s="92">
        <f t="shared" si="52"/>
        <v>1.1697250666368368E-2</v>
      </c>
      <c r="BT34" s="87">
        <f t="shared" si="53"/>
        <v>11697.250666368367</v>
      </c>
      <c r="BU34" s="91">
        <f t="shared" si="54"/>
        <v>39.824116133850595</v>
      </c>
      <c r="BV34" s="93">
        <f t="shared" si="55"/>
        <v>483.0584513493971</v>
      </c>
      <c r="BW34" s="93">
        <f t="shared" si="56"/>
        <v>1449.1753540481911</v>
      </c>
      <c r="BX34" s="91">
        <f t="shared" si="57"/>
        <v>2.1253383361956202E-2</v>
      </c>
      <c r="BY34" s="91">
        <f t="shared" si="58"/>
        <v>6.0532963541657906E-9</v>
      </c>
      <c r="BZ34" s="91">
        <f t="shared" si="59"/>
        <v>0</v>
      </c>
      <c r="CA34" s="91">
        <f t="shared" si="60"/>
        <v>58.970767086687502</v>
      </c>
      <c r="CB34" s="91">
        <f t="shared" si="61"/>
        <v>50.229017260062498</v>
      </c>
      <c r="CC34" s="95">
        <f t="shared" si="62"/>
        <v>45.99</v>
      </c>
      <c r="CD34" s="90">
        <f t="shared" si="63"/>
        <v>2.9294544238463396</v>
      </c>
      <c r="CE34" s="91">
        <f t="shared" si="64"/>
        <v>488.39549515554648</v>
      </c>
      <c r="CF34" s="91">
        <f t="shared" si="65"/>
        <v>381515.02499570668</v>
      </c>
      <c r="CG34" s="87">
        <f t="shared" si="66"/>
        <v>3815150249.957067</v>
      </c>
      <c r="CH34" s="90">
        <f t="shared" si="67"/>
        <v>3.8151502499570671</v>
      </c>
      <c r="CI34" s="87">
        <f t="shared" si="68"/>
        <v>0.5</v>
      </c>
      <c r="CJ34" s="87">
        <f t="shared" si="69"/>
        <v>11.74</v>
      </c>
      <c r="CK34" s="87">
        <f t="shared" si="70"/>
        <v>0.33600000000000002</v>
      </c>
      <c r="CL34" s="90">
        <f t="shared" si="71"/>
        <v>0.44058419126190007</v>
      </c>
      <c r="CM34" s="91">
        <f t="shared" si="72"/>
        <v>0</v>
      </c>
      <c r="CN34" s="91">
        <f t="shared" si="73"/>
        <v>0</v>
      </c>
      <c r="CO34" s="91">
        <f t="shared" si="74"/>
        <v>6.55631236996875</v>
      </c>
      <c r="CP34" s="91">
        <f t="shared" si="75"/>
        <v>19.668937109906249</v>
      </c>
      <c r="CQ34" s="87">
        <f t="shared" si="76"/>
        <v>0</v>
      </c>
      <c r="CR34" s="87">
        <f t="shared" si="77"/>
        <v>0</v>
      </c>
      <c r="CS34" s="92">
        <f t="shared" si="78"/>
        <v>5</v>
      </c>
      <c r="CT34" s="87">
        <f t="shared" si="79"/>
        <v>45.99</v>
      </c>
      <c r="CU34" s="87">
        <f t="shared" si="80"/>
        <v>803.15992719688995</v>
      </c>
      <c r="CV34" s="87">
        <f t="shared" si="81"/>
        <v>0</v>
      </c>
      <c r="CW34" s="87">
        <f t="shared" si="82"/>
        <v>4.5989999999999998E-3</v>
      </c>
      <c r="CX34" s="92">
        <f t="shared" si="83"/>
        <v>1.7545875999552551E-2</v>
      </c>
      <c r="CY34" s="87">
        <f t="shared" si="84"/>
        <v>17545.875999552551</v>
      </c>
      <c r="CZ34" s="91">
        <f t="shared" si="85"/>
        <v>39.824116133850595</v>
      </c>
      <c r="DA34" s="93">
        <f t="shared" si="86"/>
        <v>322.03896756626477</v>
      </c>
      <c r="DB34" s="93">
        <f t="shared" si="87"/>
        <v>966.11690269879421</v>
      </c>
      <c r="DC34" s="91">
        <f t="shared" si="88"/>
        <v>0.26201979300986594</v>
      </c>
      <c r="DD34" s="91">
        <f t="shared" si="89"/>
        <v>1.1342531816954131E-5</v>
      </c>
      <c r="DE34" s="91">
        <f t="shared" si="90"/>
        <v>0</v>
      </c>
      <c r="DF34" s="91">
        <f t="shared" si="91"/>
        <v>56.785329630031249</v>
      </c>
      <c r="DG34" s="91">
        <f t="shared" si="92"/>
        <v>43.672704890093755</v>
      </c>
      <c r="DH34" s="95">
        <f t="shared" si="93"/>
        <v>61.32</v>
      </c>
      <c r="DI34" s="90">
        <f t="shared" si="94"/>
        <v>2.9294544238463396</v>
      </c>
      <c r="DJ34" s="91">
        <f t="shared" si="95"/>
        <v>488.39549515554648</v>
      </c>
      <c r="DK34" s="91">
        <f t="shared" si="96"/>
        <v>381515.02499570668</v>
      </c>
      <c r="DL34" s="87">
        <f t="shared" si="97"/>
        <v>3815150249.957067</v>
      </c>
      <c r="DM34" s="90">
        <f t="shared" si="98"/>
        <v>3.8151502499570671</v>
      </c>
      <c r="DN34" s="87">
        <f t="shared" si="99"/>
        <v>0.5</v>
      </c>
      <c r="DO34" s="87">
        <f t="shared" si="100"/>
        <v>11.74</v>
      </c>
      <c r="DP34" s="87">
        <f t="shared" si="101"/>
        <v>0.33600000000000002</v>
      </c>
      <c r="DQ34" s="90">
        <f t="shared" si="102"/>
        <v>0.58744558834920013</v>
      </c>
      <c r="DR34" s="91">
        <f t="shared" si="103"/>
        <v>0</v>
      </c>
      <c r="DS34" s="91">
        <f t="shared" si="104"/>
        <v>0</v>
      </c>
      <c r="DT34" s="91">
        <f t="shared" si="105"/>
        <v>8.7417498266250018</v>
      </c>
      <c r="DU34" s="91">
        <f t="shared" si="106"/>
        <v>26.225249479875004</v>
      </c>
      <c r="DV34" s="87">
        <f t="shared" si="107"/>
        <v>0</v>
      </c>
      <c r="DW34" s="87">
        <f t="shared" si="108"/>
        <v>0</v>
      </c>
      <c r="DX34" s="92">
        <f t="shared" si="109"/>
        <v>5</v>
      </c>
      <c r="DY34" s="87">
        <f t="shared" si="110"/>
        <v>61.32</v>
      </c>
      <c r="DZ34" s="87">
        <f t="shared" si="111"/>
        <v>803.15992719688995</v>
      </c>
      <c r="EA34" s="87">
        <f t="shared" si="112"/>
        <v>0</v>
      </c>
      <c r="EB34" s="87">
        <f t="shared" si="113"/>
        <v>6.1320000000000003E-3</v>
      </c>
      <c r="EC34" s="92">
        <f t="shared" si="114"/>
        <v>2.3394501332736736E-2</v>
      </c>
      <c r="ED34" s="87">
        <f t="shared" si="115"/>
        <v>23394.501332736734</v>
      </c>
      <c r="EE34" s="91">
        <f t="shared" si="116"/>
        <v>39.824116133850595</v>
      </c>
      <c r="EF34" s="93">
        <f t="shared" si="117"/>
        <v>241.52922567469855</v>
      </c>
      <c r="EG34" s="93">
        <f t="shared" si="118"/>
        <v>724.58767702409557</v>
      </c>
      <c r="EH34" s="91">
        <f t="shared" si="119"/>
        <v>0.91999848219646096</v>
      </c>
      <c r="EI34" s="91">
        <f t="shared" si="120"/>
        <v>4.9098592342440215E-4</v>
      </c>
      <c r="EJ34" s="91">
        <f t="shared" si="121"/>
        <v>0</v>
      </c>
      <c r="EK34" s="91">
        <f t="shared" si="122"/>
        <v>54.599892173374997</v>
      </c>
      <c r="EL34" s="91">
        <f t="shared" si="123"/>
        <v>37.116392520124997</v>
      </c>
    </row>
    <row r="35" spans="1:142" x14ac:dyDescent="0.4">
      <c r="A35" s="21">
        <v>108</v>
      </c>
      <c r="B35" s="21" t="s">
        <v>94</v>
      </c>
      <c r="C35" s="21">
        <v>66.933215000000004</v>
      </c>
      <c r="D35" s="21">
        <v>620294.1</v>
      </c>
      <c r="E35" s="21">
        <v>6082423.2000000002</v>
      </c>
      <c r="F35" s="21">
        <v>778.5</v>
      </c>
      <c r="G35" s="21">
        <v>9</v>
      </c>
      <c r="H35" s="21">
        <v>0</v>
      </c>
      <c r="I35" s="21">
        <v>33</v>
      </c>
      <c r="J35" s="21">
        <v>0</v>
      </c>
      <c r="K35" s="21">
        <v>100</v>
      </c>
      <c r="L35" s="21">
        <v>4.5</v>
      </c>
      <c r="M35" s="21">
        <v>100</v>
      </c>
      <c r="N35" s="21">
        <v>0</v>
      </c>
      <c r="O35" s="35">
        <v>6</v>
      </c>
      <c r="P35" s="21">
        <v>90</v>
      </c>
      <c r="Q35" s="4">
        <v>781.16</v>
      </c>
      <c r="R35" s="4">
        <v>30.899999619999999</v>
      </c>
      <c r="S35" s="89">
        <f t="shared" si="0"/>
        <v>37.125</v>
      </c>
      <c r="T35" s="90">
        <f t="shared" si="1"/>
        <v>2.3662432634748507</v>
      </c>
      <c r="U35" s="91">
        <f t="shared" si="2"/>
        <v>440.69714198368507</v>
      </c>
      <c r="V35" s="91">
        <f t="shared" si="3"/>
        <v>344254.9794319754</v>
      </c>
      <c r="W35" s="87">
        <f t="shared" si="4"/>
        <v>3442549794.3197541</v>
      </c>
      <c r="X35" s="90">
        <f t="shared" si="5"/>
        <v>3.4425497943197541</v>
      </c>
      <c r="Y35" s="87">
        <f t="shared" si="6"/>
        <v>0.5</v>
      </c>
      <c r="Z35" s="87">
        <f t="shared" si="7"/>
        <v>11.74</v>
      </c>
      <c r="AA35" s="87">
        <f t="shared" si="8"/>
        <v>0.33600000000000002</v>
      </c>
      <c r="AB35" s="90">
        <f t="shared" si="9"/>
        <v>0.35565749294624999</v>
      </c>
      <c r="AC35" s="91">
        <f t="shared" si="10"/>
        <v>0</v>
      </c>
      <c r="AD35" s="91">
        <f t="shared" si="11"/>
        <v>0</v>
      </c>
      <c r="AE35" s="91">
        <f t="shared" si="12"/>
        <v>5.2925222164620527</v>
      </c>
      <c r="AF35" s="91">
        <f t="shared" si="13"/>
        <v>15.877566649386157</v>
      </c>
      <c r="AG35" s="87">
        <f t="shared" si="14"/>
        <v>0</v>
      </c>
      <c r="AH35" s="87">
        <f t="shared" si="15"/>
        <v>0</v>
      </c>
      <c r="AI35" s="92">
        <f t="shared" si="16"/>
        <v>6</v>
      </c>
      <c r="AJ35" s="87">
        <f t="shared" si="17"/>
        <v>37.125</v>
      </c>
      <c r="AK35" s="87">
        <f t="shared" si="18"/>
        <v>669.67405634539386</v>
      </c>
      <c r="AL35" s="87">
        <f t="shared" si="19"/>
        <v>0</v>
      </c>
      <c r="AM35" s="87">
        <f t="shared" si="20"/>
        <v>3.7125000000000001E-3</v>
      </c>
      <c r="AN35" s="92">
        <f t="shared" si="21"/>
        <v>1.2780466111412087E-2</v>
      </c>
      <c r="AO35" s="87">
        <f t="shared" si="22"/>
        <v>12780.466111412086</v>
      </c>
      <c r="AP35" s="91">
        <f t="shared" si="23"/>
        <v>35.934758482210803</v>
      </c>
      <c r="AQ35" s="93">
        <f t="shared" si="24"/>
        <v>421.55839416733113</v>
      </c>
      <c r="AR35" s="93">
        <f t="shared" si="25"/>
        <v>1264.6751825019933</v>
      </c>
      <c r="AS35" s="91">
        <f t="shared" si="26"/>
        <v>5.0056349452716621E-2</v>
      </c>
      <c r="AT35" s="91">
        <f t="shared" si="27"/>
        <v>9.712880845885138E-8</v>
      </c>
      <c r="AU35" s="91">
        <f t="shared" si="28"/>
        <v>0</v>
      </c>
      <c r="AV35" s="91">
        <f t="shared" si="29"/>
        <v>61.640692783537951</v>
      </c>
      <c r="AW35" s="91">
        <f t="shared" si="30"/>
        <v>51.055648350613851</v>
      </c>
      <c r="AX35" s="95">
        <f t="shared" si="31"/>
        <v>74.25</v>
      </c>
      <c r="AY35" s="90">
        <f t="shared" si="32"/>
        <v>2.3662432634748507</v>
      </c>
      <c r="AZ35" s="91">
        <f t="shared" si="33"/>
        <v>440.69714198368507</v>
      </c>
      <c r="BA35" s="91">
        <f t="shared" si="34"/>
        <v>344254.9794319754</v>
      </c>
      <c r="BB35" s="87">
        <f t="shared" si="35"/>
        <v>3442549794.3197541</v>
      </c>
      <c r="BC35" s="90">
        <f t="shared" si="36"/>
        <v>3.4425497943197541</v>
      </c>
      <c r="BD35" s="87">
        <f t="shared" si="37"/>
        <v>0.5</v>
      </c>
      <c r="BE35" s="87">
        <f t="shared" si="38"/>
        <v>11.74</v>
      </c>
      <c r="BF35" s="87">
        <f t="shared" si="39"/>
        <v>0.33600000000000002</v>
      </c>
      <c r="BG35" s="90">
        <f t="shared" si="40"/>
        <v>0.71131498589249997</v>
      </c>
      <c r="BH35" s="91">
        <f t="shared" si="41"/>
        <v>0</v>
      </c>
      <c r="BI35" s="91">
        <f t="shared" si="42"/>
        <v>0</v>
      </c>
      <c r="BJ35" s="91">
        <f t="shared" si="43"/>
        <v>10.585044432924105</v>
      </c>
      <c r="BK35" s="91">
        <f t="shared" si="44"/>
        <v>31.755133298772314</v>
      </c>
      <c r="BL35" s="87">
        <f t="shared" si="45"/>
        <v>0</v>
      </c>
      <c r="BM35" s="87">
        <f t="shared" si="46"/>
        <v>0</v>
      </c>
      <c r="BN35" s="92">
        <f t="shared" si="47"/>
        <v>6</v>
      </c>
      <c r="BO35" s="87">
        <f t="shared" si="48"/>
        <v>74.25</v>
      </c>
      <c r="BP35" s="87">
        <f t="shared" si="49"/>
        <v>669.67405634539386</v>
      </c>
      <c r="BQ35" s="87">
        <f t="shared" si="50"/>
        <v>0</v>
      </c>
      <c r="BR35" s="87">
        <f t="shared" si="51"/>
        <v>7.4250000000000002E-3</v>
      </c>
      <c r="BS35" s="92">
        <f t="shared" si="52"/>
        <v>2.5560932222824174E-2</v>
      </c>
      <c r="BT35" s="87">
        <f t="shared" si="53"/>
        <v>25560.932222824173</v>
      </c>
      <c r="BU35" s="91">
        <f t="shared" si="54"/>
        <v>35.934758482210803</v>
      </c>
      <c r="BV35" s="93">
        <f t="shared" si="55"/>
        <v>210.77919708366557</v>
      </c>
      <c r="BW35" s="93">
        <f t="shared" si="56"/>
        <v>632.33759125099664</v>
      </c>
      <c r="BX35" s="91">
        <f t="shared" si="57"/>
        <v>1.3411796404973184</v>
      </c>
      <c r="BY35" s="91">
        <f t="shared" si="58"/>
        <v>1.8682345338938947E-3</v>
      </c>
      <c r="BZ35" s="91">
        <f t="shared" si="59"/>
        <v>0</v>
      </c>
      <c r="CA35" s="91">
        <f t="shared" si="60"/>
        <v>56.348170567075897</v>
      </c>
      <c r="CB35" s="91">
        <f t="shared" si="61"/>
        <v>35.17808170122769</v>
      </c>
      <c r="CC35" s="95">
        <f t="shared" si="62"/>
        <v>111.375</v>
      </c>
      <c r="CD35" s="90">
        <f t="shared" si="63"/>
        <v>2.3662432634748507</v>
      </c>
      <c r="CE35" s="91">
        <f t="shared" si="64"/>
        <v>440.69714198368507</v>
      </c>
      <c r="CF35" s="91">
        <f t="shared" si="65"/>
        <v>344254.9794319754</v>
      </c>
      <c r="CG35" s="87">
        <f t="shared" si="66"/>
        <v>3442549794.3197541</v>
      </c>
      <c r="CH35" s="90">
        <f t="shared" si="67"/>
        <v>3.4425497943197541</v>
      </c>
      <c r="CI35" s="87">
        <f t="shared" si="68"/>
        <v>0.5</v>
      </c>
      <c r="CJ35" s="87">
        <f t="shared" si="69"/>
        <v>11.74</v>
      </c>
      <c r="CK35" s="87">
        <f t="shared" si="70"/>
        <v>0.33600000000000002</v>
      </c>
      <c r="CL35" s="90">
        <f t="shared" si="71"/>
        <v>1.06697247883875</v>
      </c>
      <c r="CM35" s="91">
        <f t="shared" si="72"/>
        <v>0</v>
      </c>
      <c r="CN35" s="91">
        <f t="shared" si="73"/>
        <v>0</v>
      </c>
      <c r="CO35" s="91">
        <f t="shared" si="74"/>
        <v>15.877566649386159</v>
      </c>
      <c r="CP35" s="91">
        <f t="shared" si="75"/>
        <v>47.632699948158475</v>
      </c>
      <c r="CQ35" s="87">
        <f t="shared" si="76"/>
        <v>0</v>
      </c>
      <c r="CR35" s="87">
        <f t="shared" si="77"/>
        <v>0</v>
      </c>
      <c r="CS35" s="92">
        <f t="shared" si="78"/>
        <v>6</v>
      </c>
      <c r="CT35" s="87">
        <f t="shared" si="79"/>
        <v>111.375</v>
      </c>
      <c r="CU35" s="87">
        <f t="shared" si="80"/>
        <v>669.67405634539386</v>
      </c>
      <c r="CV35" s="87">
        <f t="shared" si="81"/>
        <v>0</v>
      </c>
      <c r="CW35" s="87">
        <f t="shared" si="82"/>
        <v>1.11375E-2</v>
      </c>
      <c r="CX35" s="92">
        <f t="shared" si="83"/>
        <v>3.8341398334236262E-2</v>
      </c>
      <c r="CY35" s="87">
        <f t="shared" si="84"/>
        <v>38341.398334236263</v>
      </c>
      <c r="CZ35" s="91">
        <f t="shared" si="85"/>
        <v>35.934758482210803</v>
      </c>
      <c r="DA35" s="93">
        <f t="shared" si="86"/>
        <v>140.5194647224437</v>
      </c>
      <c r="DB35" s="93">
        <f t="shared" si="87"/>
        <v>421.55839416733107</v>
      </c>
      <c r="DC35" s="91">
        <f t="shared" si="88"/>
        <v>4.0132499734634397</v>
      </c>
      <c r="DD35" s="91">
        <f t="shared" si="89"/>
        <v>5.005634945271667E-2</v>
      </c>
      <c r="DE35" s="91">
        <f t="shared" si="90"/>
        <v>0</v>
      </c>
      <c r="DF35" s="91">
        <f t="shared" si="91"/>
        <v>51.055648350613843</v>
      </c>
      <c r="DG35" s="91">
        <f t="shared" si="92"/>
        <v>19.300515051841529</v>
      </c>
      <c r="DH35" s="95">
        <f t="shared" si="93"/>
        <v>148.5</v>
      </c>
      <c r="DI35" s="90">
        <f t="shared" si="94"/>
        <v>2.3662432634748507</v>
      </c>
      <c r="DJ35" s="91">
        <f t="shared" si="95"/>
        <v>440.69714198368507</v>
      </c>
      <c r="DK35" s="91">
        <f t="shared" si="96"/>
        <v>344254.9794319754</v>
      </c>
      <c r="DL35" s="87">
        <f t="shared" si="97"/>
        <v>3442549794.3197541</v>
      </c>
      <c r="DM35" s="90">
        <f t="shared" si="98"/>
        <v>3.4425497943197541</v>
      </c>
      <c r="DN35" s="87">
        <f t="shared" si="99"/>
        <v>0.5</v>
      </c>
      <c r="DO35" s="87">
        <f t="shared" si="100"/>
        <v>11.74</v>
      </c>
      <c r="DP35" s="87">
        <f t="shared" si="101"/>
        <v>0.33600000000000002</v>
      </c>
      <c r="DQ35" s="90">
        <f t="shared" si="102"/>
        <v>1.4226299717849999</v>
      </c>
      <c r="DR35" s="91">
        <f t="shared" si="103"/>
        <v>0</v>
      </c>
      <c r="DS35" s="91">
        <f t="shared" si="104"/>
        <v>0</v>
      </c>
      <c r="DT35" s="91">
        <f t="shared" si="105"/>
        <v>21.170088865848211</v>
      </c>
      <c r="DU35" s="91">
        <f t="shared" si="106"/>
        <v>63.510266597544629</v>
      </c>
      <c r="DV35" s="87">
        <f t="shared" si="107"/>
        <v>0</v>
      </c>
      <c r="DW35" s="87">
        <f t="shared" si="108"/>
        <v>0</v>
      </c>
      <c r="DX35" s="92">
        <f t="shared" si="109"/>
        <v>6</v>
      </c>
      <c r="DY35" s="87">
        <f t="shared" si="110"/>
        <v>148.5</v>
      </c>
      <c r="DZ35" s="87">
        <f t="shared" si="111"/>
        <v>669.67405634539386</v>
      </c>
      <c r="EA35" s="87">
        <f t="shared" si="112"/>
        <v>0</v>
      </c>
      <c r="EB35" s="87">
        <f t="shared" si="113"/>
        <v>1.485E-2</v>
      </c>
      <c r="EC35" s="92">
        <f t="shared" si="114"/>
        <v>5.1121864445648348E-2</v>
      </c>
      <c r="ED35" s="87">
        <f t="shared" si="115"/>
        <v>51121.864445648345</v>
      </c>
      <c r="EE35" s="91">
        <f t="shared" si="116"/>
        <v>35.934758482210803</v>
      </c>
      <c r="EF35" s="93">
        <f t="shared" si="117"/>
        <v>105.38959854183278</v>
      </c>
      <c r="EG35" s="93">
        <f t="shared" si="118"/>
        <v>316.16879562549832</v>
      </c>
      <c r="EH35" s="91">
        <f t="shared" si="119"/>
        <v>6.9422594637862289</v>
      </c>
      <c r="EI35" s="91">
        <f t="shared" si="120"/>
        <v>0.25910337080710233</v>
      </c>
      <c r="EJ35" s="91">
        <f t="shared" si="121"/>
        <v>0</v>
      </c>
      <c r="EK35" s="91">
        <f t="shared" si="122"/>
        <v>45.76312613415179</v>
      </c>
      <c r="EL35" s="91">
        <f t="shared" si="123"/>
        <v>3.4229484024553756</v>
      </c>
    </row>
    <row r="36" spans="1:142" x14ac:dyDescent="0.4">
      <c r="A36" s="21">
        <v>76</v>
      </c>
      <c r="B36" s="21" t="s">
        <v>94</v>
      </c>
      <c r="C36" s="21">
        <v>55.777912999999998</v>
      </c>
      <c r="D36" s="21">
        <v>619830.69999999995</v>
      </c>
      <c r="E36" s="21">
        <v>6081625.7000000002</v>
      </c>
      <c r="F36" s="21">
        <v>781.9</v>
      </c>
      <c r="G36" s="21">
        <v>13</v>
      </c>
      <c r="H36" s="21">
        <v>0</v>
      </c>
      <c r="I36" s="21">
        <v>26.44</v>
      </c>
      <c r="J36" s="21">
        <v>0</v>
      </c>
      <c r="K36" s="21">
        <v>100</v>
      </c>
      <c r="L36" s="21">
        <v>3.9</v>
      </c>
      <c r="M36" s="21">
        <v>100</v>
      </c>
      <c r="N36" s="21">
        <v>0</v>
      </c>
      <c r="O36" s="35">
        <v>3</v>
      </c>
      <c r="P36" s="21">
        <v>90</v>
      </c>
      <c r="Q36" s="4">
        <v>781.16</v>
      </c>
      <c r="R36" s="4">
        <v>30.899999619999999</v>
      </c>
      <c r="S36" s="89">
        <f t="shared" si="0"/>
        <v>25.779</v>
      </c>
      <c r="T36" s="90">
        <f t="shared" si="1"/>
        <v>2.8192668236646963</v>
      </c>
      <c r="U36" s="91">
        <f t="shared" si="2"/>
        <v>479.0637072961631</v>
      </c>
      <c r="V36" s="91">
        <f t="shared" si="3"/>
        <v>374225.40559147077</v>
      </c>
      <c r="W36" s="87">
        <f t="shared" si="4"/>
        <v>3742254055.9147077</v>
      </c>
      <c r="X36" s="90">
        <f t="shared" si="5"/>
        <v>3.7422540559147075</v>
      </c>
      <c r="Y36" s="87">
        <f t="shared" si="6"/>
        <v>0.5</v>
      </c>
      <c r="Z36" s="87">
        <f t="shared" si="7"/>
        <v>11.74</v>
      </c>
      <c r="AA36" s="87">
        <f t="shared" si="8"/>
        <v>0.33600000000000002</v>
      </c>
      <c r="AB36" s="90">
        <f t="shared" si="9"/>
        <v>0.24696281510199</v>
      </c>
      <c r="AC36" s="91">
        <f t="shared" si="10"/>
        <v>0</v>
      </c>
      <c r="AD36" s="91">
        <f t="shared" si="11"/>
        <v>0</v>
      </c>
      <c r="AE36" s="91">
        <f t="shared" si="12"/>
        <v>3.6750418913986604</v>
      </c>
      <c r="AF36" s="91">
        <f t="shared" si="13"/>
        <v>11.025125674195982</v>
      </c>
      <c r="AG36" s="87">
        <f t="shared" si="14"/>
        <v>0</v>
      </c>
      <c r="AH36" s="87">
        <f t="shared" si="15"/>
        <v>0</v>
      </c>
      <c r="AI36" s="92">
        <f t="shared" si="16"/>
        <v>3</v>
      </c>
      <c r="AJ36" s="87">
        <f t="shared" si="17"/>
        <v>25.779</v>
      </c>
      <c r="AK36" s="87">
        <f t="shared" si="18"/>
        <v>1337.5125826508179</v>
      </c>
      <c r="AL36" s="87">
        <f t="shared" si="19"/>
        <v>0</v>
      </c>
      <c r="AM36" s="87">
        <f t="shared" si="20"/>
        <v>2.5779000000000002E-3</v>
      </c>
      <c r="AN36" s="92">
        <f t="shared" si="21"/>
        <v>9.6471567307425243E-3</v>
      </c>
      <c r="AO36" s="87">
        <f t="shared" si="22"/>
        <v>9647.1567307425248</v>
      </c>
      <c r="AP36" s="91">
        <f t="shared" si="23"/>
        <v>39.063195512889138</v>
      </c>
      <c r="AQ36" s="93">
        <f t="shared" si="24"/>
        <v>505.91634642811141</v>
      </c>
      <c r="AR36" s="93">
        <f t="shared" si="25"/>
        <v>1517.7490392843342</v>
      </c>
      <c r="AS36" s="91">
        <f t="shared" si="26"/>
        <v>1.4594445442359218E-2</v>
      </c>
      <c r="AT36" s="91">
        <f t="shared" si="27"/>
        <v>2.0371699322714915E-9</v>
      </c>
      <c r="AU36" s="91">
        <f t="shared" si="28"/>
        <v>0</v>
      </c>
      <c r="AV36" s="91">
        <f t="shared" si="29"/>
        <v>52.102871108601335</v>
      </c>
      <c r="AW36" s="91">
        <f t="shared" si="30"/>
        <v>44.752787325804015</v>
      </c>
      <c r="AX36" s="95">
        <f t="shared" si="31"/>
        <v>51.558</v>
      </c>
      <c r="AY36" s="90">
        <f t="shared" si="32"/>
        <v>2.8192668236646963</v>
      </c>
      <c r="AZ36" s="91">
        <f t="shared" si="33"/>
        <v>479.0637072961631</v>
      </c>
      <c r="BA36" s="91">
        <f t="shared" si="34"/>
        <v>374225.40559147077</v>
      </c>
      <c r="BB36" s="87">
        <f t="shared" si="35"/>
        <v>3742254055.9147077</v>
      </c>
      <c r="BC36" s="90">
        <f t="shared" si="36"/>
        <v>3.7422540559147075</v>
      </c>
      <c r="BD36" s="87">
        <f t="shared" si="37"/>
        <v>0.5</v>
      </c>
      <c r="BE36" s="87">
        <f t="shared" si="38"/>
        <v>11.74</v>
      </c>
      <c r="BF36" s="87">
        <f t="shared" si="39"/>
        <v>0.33600000000000002</v>
      </c>
      <c r="BG36" s="90">
        <f t="shared" si="40"/>
        <v>0.49392563020398</v>
      </c>
      <c r="BH36" s="91">
        <f t="shared" si="41"/>
        <v>0</v>
      </c>
      <c r="BI36" s="91">
        <f t="shared" si="42"/>
        <v>0</v>
      </c>
      <c r="BJ36" s="91">
        <f t="shared" si="43"/>
        <v>7.3500837827973209</v>
      </c>
      <c r="BK36" s="91">
        <f t="shared" si="44"/>
        <v>22.050251348391964</v>
      </c>
      <c r="BL36" s="87">
        <f t="shared" si="45"/>
        <v>0</v>
      </c>
      <c r="BM36" s="87">
        <f t="shared" si="46"/>
        <v>0</v>
      </c>
      <c r="BN36" s="92">
        <f t="shared" si="47"/>
        <v>3</v>
      </c>
      <c r="BO36" s="87">
        <f t="shared" si="48"/>
        <v>51.558</v>
      </c>
      <c r="BP36" s="87">
        <f t="shared" si="49"/>
        <v>1337.5125826508179</v>
      </c>
      <c r="BQ36" s="87">
        <f t="shared" si="50"/>
        <v>0</v>
      </c>
      <c r="BR36" s="87">
        <f t="shared" si="51"/>
        <v>5.1558000000000003E-3</v>
      </c>
      <c r="BS36" s="92">
        <f t="shared" si="52"/>
        <v>1.9294313461485049E-2</v>
      </c>
      <c r="BT36" s="87">
        <f t="shared" si="53"/>
        <v>19294.31346148505</v>
      </c>
      <c r="BU36" s="91">
        <f t="shared" si="54"/>
        <v>39.063195512889138</v>
      </c>
      <c r="BV36" s="93">
        <f t="shared" si="55"/>
        <v>252.95817321405571</v>
      </c>
      <c r="BW36" s="93">
        <f t="shared" si="56"/>
        <v>758.87451964216712</v>
      </c>
      <c r="BX36" s="91">
        <f t="shared" si="57"/>
        <v>0.75505342573692891</v>
      </c>
      <c r="BY36" s="91">
        <f t="shared" si="58"/>
        <v>2.8209637955369155E-4</v>
      </c>
      <c r="BZ36" s="91">
        <f t="shared" si="59"/>
        <v>0</v>
      </c>
      <c r="CA36" s="91">
        <f t="shared" si="60"/>
        <v>48.427829217202678</v>
      </c>
      <c r="CB36" s="91">
        <f t="shared" si="61"/>
        <v>33.727661651608031</v>
      </c>
      <c r="CC36" s="95">
        <f t="shared" si="62"/>
        <v>77.337000000000003</v>
      </c>
      <c r="CD36" s="90">
        <f t="shared" si="63"/>
        <v>2.8192668236646963</v>
      </c>
      <c r="CE36" s="91">
        <f t="shared" si="64"/>
        <v>479.0637072961631</v>
      </c>
      <c r="CF36" s="91">
        <f t="shared" si="65"/>
        <v>374225.40559147077</v>
      </c>
      <c r="CG36" s="87">
        <f t="shared" si="66"/>
        <v>3742254055.9147077</v>
      </c>
      <c r="CH36" s="90">
        <f t="shared" si="67"/>
        <v>3.7422540559147075</v>
      </c>
      <c r="CI36" s="87">
        <f t="shared" si="68"/>
        <v>0.5</v>
      </c>
      <c r="CJ36" s="87">
        <f t="shared" si="69"/>
        <v>11.74</v>
      </c>
      <c r="CK36" s="87">
        <f t="shared" si="70"/>
        <v>0.33600000000000002</v>
      </c>
      <c r="CL36" s="90">
        <f t="shared" si="71"/>
        <v>0.74088844530597009</v>
      </c>
      <c r="CM36" s="91">
        <f t="shared" si="72"/>
        <v>0</v>
      </c>
      <c r="CN36" s="91">
        <f t="shared" si="73"/>
        <v>0</v>
      </c>
      <c r="CO36" s="91">
        <f t="shared" si="74"/>
        <v>11.025125674195982</v>
      </c>
      <c r="CP36" s="91">
        <f t="shared" si="75"/>
        <v>33.075377022587944</v>
      </c>
      <c r="CQ36" s="87">
        <f t="shared" si="76"/>
        <v>0</v>
      </c>
      <c r="CR36" s="87">
        <f t="shared" si="77"/>
        <v>0</v>
      </c>
      <c r="CS36" s="92">
        <f t="shared" si="78"/>
        <v>3</v>
      </c>
      <c r="CT36" s="87">
        <f t="shared" si="79"/>
        <v>77.337000000000003</v>
      </c>
      <c r="CU36" s="87">
        <f t="shared" si="80"/>
        <v>1337.5125826508179</v>
      </c>
      <c r="CV36" s="87">
        <f t="shared" si="81"/>
        <v>0</v>
      </c>
      <c r="CW36" s="87">
        <f t="shared" si="82"/>
        <v>7.7337000000000005E-3</v>
      </c>
      <c r="CX36" s="92">
        <f t="shared" si="83"/>
        <v>2.8941470192227575E-2</v>
      </c>
      <c r="CY36" s="87">
        <f t="shared" si="84"/>
        <v>28941.470192227574</v>
      </c>
      <c r="CZ36" s="91">
        <f t="shared" si="85"/>
        <v>39.063195512889131</v>
      </c>
      <c r="DA36" s="93">
        <f t="shared" si="86"/>
        <v>168.63878214270383</v>
      </c>
      <c r="DB36" s="93">
        <f t="shared" si="87"/>
        <v>505.91634642811141</v>
      </c>
      <c r="DC36" s="91">
        <f t="shared" si="88"/>
        <v>2.8134619368399596</v>
      </c>
      <c r="DD36" s="91">
        <f t="shared" si="89"/>
        <v>1.4594445442359215E-2</v>
      </c>
      <c r="DE36" s="91">
        <f t="shared" si="90"/>
        <v>0</v>
      </c>
      <c r="DF36" s="91">
        <f t="shared" si="91"/>
        <v>44.752787325804015</v>
      </c>
      <c r="DG36" s="91">
        <f t="shared" si="92"/>
        <v>22.702535977412055</v>
      </c>
      <c r="DH36" s="95">
        <f t="shared" si="93"/>
        <v>103.116</v>
      </c>
      <c r="DI36" s="90">
        <f t="shared" si="94"/>
        <v>2.8192668236646963</v>
      </c>
      <c r="DJ36" s="91">
        <f t="shared" si="95"/>
        <v>479.0637072961631</v>
      </c>
      <c r="DK36" s="91">
        <f t="shared" si="96"/>
        <v>374225.40559147077</v>
      </c>
      <c r="DL36" s="87">
        <f t="shared" si="97"/>
        <v>3742254055.9147077</v>
      </c>
      <c r="DM36" s="90">
        <f t="shared" si="98"/>
        <v>3.7422540559147075</v>
      </c>
      <c r="DN36" s="87">
        <f t="shared" si="99"/>
        <v>0.5</v>
      </c>
      <c r="DO36" s="87">
        <f t="shared" si="100"/>
        <v>11.74</v>
      </c>
      <c r="DP36" s="87">
        <f t="shared" si="101"/>
        <v>0.33600000000000002</v>
      </c>
      <c r="DQ36" s="90">
        <f t="shared" si="102"/>
        <v>0.98785126040796001</v>
      </c>
      <c r="DR36" s="91">
        <f t="shared" si="103"/>
        <v>0</v>
      </c>
      <c r="DS36" s="91">
        <f t="shared" si="104"/>
        <v>0</v>
      </c>
      <c r="DT36" s="91">
        <f t="shared" si="105"/>
        <v>14.700167565594642</v>
      </c>
      <c r="DU36" s="91">
        <f t="shared" si="106"/>
        <v>44.100502696783927</v>
      </c>
      <c r="DV36" s="87">
        <f t="shared" si="107"/>
        <v>0</v>
      </c>
      <c r="DW36" s="87">
        <f t="shared" si="108"/>
        <v>0</v>
      </c>
      <c r="DX36" s="92">
        <f t="shared" si="109"/>
        <v>3</v>
      </c>
      <c r="DY36" s="87">
        <f t="shared" si="110"/>
        <v>103.116</v>
      </c>
      <c r="DZ36" s="87">
        <f t="shared" si="111"/>
        <v>1337.5125826508179</v>
      </c>
      <c r="EA36" s="87">
        <f t="shared" si="112"/>
        <v>0</v>
      </c>
      <c r="EB36" s="87">
        <f t="shared" si="113"/>
        <v>1.0311600000000001E-2</v>
      </c>
      <c r="EC36" s="92">
        <f t="shared" si="114"/>
        <v>3.8588626922970097E-2</v>
      </c>
      <c r="ED36" s="87">
        <f t="shared" si="115"/>
        <v>38588.626922970099</v>
      </c>
      <c r="EE36" s="91">
        <f t="shared" si="116"/>
        <v>39.063195512889138</v>
      </c>
      <c r="EF36" s="93">
        <f t="shared" si="117"/>
        <v>126.47908660702785</v>
      </c>
      <c r="EG36" s="93">
        <f t="shared" si="118"/>
        <v>379.43725982108356</v>
      </c>
      <c r="EH36" s="91">
        <f t="shared" si="119"/>
        <v>5.4309114881609304</v>
      </c>
      <c r="EI36" s="91">
        <f t="shared" si="120"/>
        <v>0.10497421601509599</v>
      </c>
      <c r="EJ36" s="91">
        <f t="shared" si="121"/>
        <v>0</v>
      </c>
      <c r="EK36" s="91">
        <f t="shared" si="122"/>
        <v>41.077745434405358</v>
      </c>
      <c r="EL36" s="91">
        <f t="shared" si="123"/>
        <v>11.677410303216071</v>
      </c>
    </row>
    <row r="37" spans="1:142" x14ac:dyDescent="0.4">
      <c r="A37" s="21">
        <v>107</v>
      </c>
      <c r="B37" s="21" t="s">
        <v>94</v>
      </c>
      <c r="C37" s="21">
        <v>76.281851000000003</v>
      </c>
      <c r="D37" s="21">
        <v>620287.9</v>
      </c>
      <c r="E37" s="21">
        <v>6082390.7999999998</v>
      </c>
      <c r="F37" s="21">
        <v>783.3</v>
      </c>
      <c r="G37" s="21">
        <v>20</v>
      </c>
      <c r="H37" s="21">
        <v>0</v>
      </c>
      <c r="I37" s="21">
        <v>27.3</v>
      </c>
      <c r="J37" s="21">
        <v>0</v>
      </c>
      <c r="K37" s="21">
        <v>100</v>
      </c>
      <c r="L37" s="21">
        <v>4.2</v>
      </c>
      <c r="M37" s="21">
        <v>100</v>
      </c>
      <c r="N37" s="21">
        <v>0</v>
      </c>
      <c r="O37" s="35">
        <v>15</v>
      </c>
      <c r="P37" s="21">
        <v>90</v>
      </c>
      <c r="Q37" s="4">
        <v>781.16</v>
      </c>
      <c r="R37" s="4">
        <v>30.899999619999999</v>
      </c>
      <c r="S37" s="89">
        <f t="shared" si="0"/>
        <v>28.665000000000003</v>
      </c>
      <c r="T37" s="90">
        <f t="shared" si="1"/>
        <v>3.533596116398225</v>
      </c>
      <c r="U37" s="91">
        <f t="shared" si="2"/>
        <v>539.56025509776566</v>
      </c>
      <c r="V37" s="91">
        <f t="shared" si="3"/>
        <v>421482.88887217059</v>
      </c>
      <c r="W37" s="87">
        <f t="shared" si="4"/>
        <v>4214828888.7217059</v>
      </c>
      <c r="X37" s="90">
        <f t="shared" si="5"/>
        <v>4.2148288887217058</v>
      </c>
      <c r="Y37" s="87">
        <f t="shared" si="6"/>
        <v>0.5</v>
      </c>
      <c r="Z37" s="87">
        <f t="shared" si="7"/>
        <v>11.74</v>
      </c>
      <c r="AA37" s="87">
        <f t="shared" si="8"/>
        <v>0.33600000000000002</v>
      </c>
      <c r="AB37" s="90">
        <f t="shared" si="9"/>
        <v>0.27461069455365006</v>
      </c>
      <c r="AC37" s="91">
        <f t="shared" si="10"/>
        <v>0</v>
      </c>
      <c r="AD37" s="91">
        <f t="shared" si="11"/>
        <v>0</v>
      </c>
      <c r="AE37" s="91">
        <f t="shared" si="12"/>
        <v>4.0864686689531258</v>
      </c>
      <c r="AF37" s="91">
        <f t="shared" si="13"/>
        <v>12.259406006859377</v>
      </c>
      <c r="AG37" s="87">
        <f t="shared" si="14"/>
        <v>0</v>
      </c>
      <c r="AH37" s="87">
        <f t="shared" si="15"/>
        <v>0</v>
      </c>
      <c r="AI37" s="92">
        <f t="shared" si="16"/>
        <v>15</v>
      </c>
      <c r="AJ37" s="87">
        <f t="shared" si="17"/>
        <v>28.665000000000003</v>
      </c>
      <c r="AK37" s="87">
        <f t="shared" si="18"/>
        <v>270.45923136093916</v>
      </c>
      <c r="AL37" s="87">
        <f t="shared" si="19"/>
        <v>0</v>
      </c>
      <c r="AM37" s="87">
        <f t="shared" si="20"/>
        <v>2.8665000000000001E-3</v>
      </c>
      <c r="AN37" s="92">
        <f t="shared" si="21"/>
        <v>1.208180700952077E-2</v>
      </c>
      <c r="AO37" s="87">
        <f t="shared" si="22"/>
        <v>12081.807009520769</v>
      </c>
      <c r="AP37" s="91">
        <f t="shared" si="23"/>
        <v>43.996127059648714</v>
      </c>
      <c r="AQ37" s="93">
        <f t="shared" si="24"/>
        <v>622.23121542201</v>
      </c>
      <c r="AR37" s="93">
        <f t="shared" si="25"/>
        <v>1866.6936462660299</v>
      </c>
      <c r="AS37" s="91">
        <f t="shared" si="26"/>
        <v>2.6779455830635329E-3</v>
      </c>
      <c r="AT37" s="91">
        <f t="shared" si="27"/>
        <v>9.9214774118245157E-12</v>
      </c>
      <c r="AU37" s="91">
        <f t="shared" si="28"/>
        <v>0</v>
      </c>
      <c r="AV37" s="91">
        <f t="shared" si="29"/>
        <v>72.195382331046872</v>
      </c>
      <c r="AW37" s="91">
        <f t="shared" si="30"/>
        <v>64.022444993140624</v>
      </c>
      <c r="AX37" s="95">
        <f t="shared" si="31"/>
        <v>57.330000000000005</v>
      </c>
      <c r="AY37" s="90">
        <f t="shared" si="32"/>
        <v>3.533596116398225</v>
      </c>
      <c r="AZ37" s="91">
        <f t="shared" si="33"/>
        <v>539.56025509776566</v>
      </c>
      <c r="BA37" s="91">
        <f t="shared" si="34"/>
        <v>421482.88887217059</v>
      </c>
      <c r="BB37" s="87">
        <f t="shared" si="35"/>
        <v>4214828888.7217059</v>
      </c>
      <c r="BC37" s="90">
        <f t="shared" si="36"/>
        <v>4.2148288887217058</v>
      </c>
      <c r="BD37" s="87">
        <f t="shared" si="37"/>
        <v>0.5</v>
      </c>
      <c r="BE37" s="87">
        <f t="shared" si="38"/>
        <v>11.74</v>
      </c>
      <c r="BF37" s="87">
        <f t="shared" si="39"/>
        <v>0.33600000000000002</v>
      </c>
      <c r="BG37" s="90">
        <f t="shared" si="40"/>
        <v>0.54922138910730012</v>
      </c>
      <c r="BH37" s="91">
        <f t="shared" si="41"/>
        <v>0</v>
      </c>
      <c r="BI37" s="91">
        <f t="shared" si="42"/>
        <v>0</v>
      </c>
      <c r="BJ37" s="91">
        <f t="shared" si="43"/>
        <v>8.1729373379062515</v>
      </c>
      <c r="BK37" s="91">
        <f t="shared" si="44"/>
        <v>24.518812013718755</v>
      </c>
      <c r="BL37" s="87">
        <f t="shared" si="45"/>
        <v>0</v>
      </c>
      <c r="BM37" s="87">
        <f t="shared" si="46"/>
        <v>0</v>
      </c>
      <c r="BN37" s="92">
        <f t="shared" si="47"/>
        <v>15</v>
      </c>
      <c r="BO37" s="87">
        <f t="shared" si="48"/>
        <v>57.330000000000005</v>
      </c>
      <c r="BP37" s="87">
        <f t="shared" si="49"/>
        <v>270.45923136093916</v>
      </c>
      <c r="BQ37" s="87">
        <f t="shared" si="50"/>
        <v>0</v>
      </c>
      <c r="BR37" s="87">
        <f t="shared" si="51"/>
        <v>5.7330000000000002E-3</v>
      </c>
      <c r="BS37" s="92">
        <f t="shared" si="52"/>
        <v>2.4163614019041539E-2</v>
      </c>
      <c r="BT37" s="87">
        <f t="shared" si="53"/>
        <v>24163.614019041539</v>
      </c>
      <c r="BU37" s="91">
        <f t="shared" si="54"/>
        <v>43.996127059648714</v>
      </c>
      <c r="BV37" s="93">
        <f t="shared" si="55"/>
        <v>311.115607711005</v>
      </c>
      <c r="BW37" s="93">
        <f t="shared" si="56"/>
        <v>933.34682313301494</v>
      </c>
      <c r="BX37" s="91">
        <f t="shared" si="57"/>
        <v>0.3432480650073475</v>
      </c>
      <c r="BY37" s="91">
        <f t="shared" si="58"/>
        <v>2.0892739907203797E-5</v>
      </c>
      <c r="BZ37" s="91">
        <f t="shared" si="59"/>
        <v>0</v>
      </c>
      <c r="CA37" s="91">
        <f t="shared" si="60"/>
        <v>68.108913662093755</v>
      </c>
      <c r="CB37" s="91">
        <f t="shared" si="61"/>
        <v>51.763038986281245</v>
      </c>
      <c r="CC37" s="95">
        <f t="shared" si="62"/>
        <v>85.995000000000005</v>
      </c>
      <c r="CD37" s="90">
        <f t="shared" si="63"/>
        <v>3.533596116398225</v>
      </c>
      <c r="CE37" s="91">
        <f t="shared" si="64"/>
        <v>539.56025509776566</v>
      </c>
      <c r="CF37" s="91">
        <f t="shared" si="65"/>
        <v>421482.88887217059</v>
      </c>
      <c r="CG37" s="87">
        <f t="shared" si="66"/>
        <v>4214828888.7217059</v>
      </c>
      <c r="CH37" s="90">
        <f t="shared" si="67"/>
        <v>4.2148288887217058</v>
      </c>
      <c r="CI37" s="87">
        <f t="shared" si="68"/>
        <v>0.5</v>
      </c>
      <c r="CJ37" s="87">
        <f t="shared" si="69"/>
        <v>11.74</v>
      </c>
      <c r="CK37" s="87">
        <f t="shared" si="70"/>
        <v>0.33600000000000002</v>
      </c>
      <c r="CL37" s="90">
        <f t="shared" si="71"/>
        <v>0.82383208366095007</v>
      </c>
      <c r="CM37" s="91">
        <f t="shared" si="72"/>
        <v>0</v>
      </c>
      <c r="CN37" s="91">
        <f t="shared" si="73"/>
        <v>0</v>
      </c>
      <c r="CO37" s="91">
        <f t="shared" si="74"/>
        <v>12.259406006859374</v>
      </c>
      <c r="CP37" s="91">
        <f t="shared" si="75"/>
        <v>36.778218020578123</v>
      </c>
      <c r="CQ37" s="87">
        <f t="shared" si="76"/>
        <v>0</v>
      </c>
      <c r="CR37" s="87">
        <f t="shared" si="77"/>
        <v>0</v>
      </c>
      <c r="CS37" s="92">
        <f t="shared" si="78"/>
        <v>15</v>
      </c>
      <c r="CT37" s="87">
        <f t="shared" si="79"/>
        <v>85.995000000000005</v>
      </c>
      <c r="CU37" s="87">
        <f t="shared" si="80"/>
        <v>270.45923136093916</v>
      </c>
      <c r="CV37" s="87">
        <f t="shared" si="81"/>
        <v>0</v>
      </c>
      <c r="CW37" s="87">
        <f t="shared" si="82"/>
        <v>8.5995000000000012E-3</v>
      </c>
      <c r="CX37" s="92">
        <f t="shared" si="83"/>
        <v>3.6245421028562312E-2</v>
      </c>
      <c r="CY37" s="87">
        <f t="shared" si="84"/>
        <v>36245.421028562312</v>
      </c>
      <c r="CZ37" s="91">
        <f t="shared" si="85"/>
        <v>43.996127059648721</v>
      </c>
      <c r="DA37" s="93">
        <f t="shared" si="86"/>
        <v>207.41040514067004</v>
      </c>
      <c r="DB37" s="93">
        <f t="shared" si="87"/>
        <v>622.23121542201011</v>
      </c>
      <c r="DC37" s="91">
        <f t="shared" si="88"/>
        <v>1.7306538558770583</v>
      </c>
      <c r="DD37" s="91">
        <f t="shared" si="89"/>
        <v>2.6779455830635286E-3</v>
      </c>
      <c r="DE37" s="91">
        <f t="shared" si="90"/>
        <v>0</v>
      </c>
      <c r="DF37" s="91">
        <f t="shared" si="91"/>
        <v>64.022444993140624</v>
      </c>
      <c r="DG37" s="91">
        <f t="shared" si="92"/>
        <v>39.50363297942188</v>
      </c>
      <c r="DH37" s="95">
        <f t="shared" si="93"/>
        <v>114.66000000000001</v>
      </c>
      <c r="DI37" s="90">
        <f t="shared" si="94"/>
        <v>3.533596116398225</v>
      </c>
      <c r="DJ37" s="91">
        <f t="shared" si="95"/>
        <v>539.56025509776566</v>
      </c>
      <c r="DK37" s="91">
        <f t="shared" si="96"/>
        <v>421482.88887217059</v>
      </c>
      <c r="DL37" s="87">
        <f t="shared" si="97"/>
        <v>4214828888.7217059</v>
      </c>
      <c r="DM37" s="90">
        <f t="shared" si="98"/>
        <v>4.2148288887217058</v>
      </c>
      <c r="DN37" s="87">
        <f t="shared" si="99"/>
        <v>0.5</v>
      </c>
      <c r="DO37" s="87">
        <f t="shared" si="100"/>
        <v>11.74</v>
      </c>
      <c r="DP37" s="87">
        <f t="shared" si="101"/>
        <v>0.33600000000000002</v>
      </c>
      <c r="DQ37" s="90">
        <f t="shared" si="102"/>
        <v>1.0984427782146002</v>
      </c>
      <c r="DR37" s="91">
        <f t="shared" si="103"/>
        <v>0</v>
      </c>
      <c r="DS37" s="91">
        <f t="shared" si="104"/>
        <v>0</v>
      </c>
      <c r="DT37" s="91">
        <f t="shared" si="105"/>
        <v>16.345874675812503</v>
      </c>
      <c r="DU37" s="91">
        <f t="shared" si="106"/>
        <v>49.037624027437509</v>
      </c>
      <c r="DV37" s="87">
        <f t="shared" si="107"/>
        <v>0</v>
      </c>
      <c r="DW37" s="87">
        <f t="shared" si="108"/>
        <v>0</v>
      </c>
      <c r="DX37" s="92">
        <f t="shared" si="109"/>
        <v>15</v>
      </c>
      <c r="DY37" s="87">
        <f t="shared" si="110"/>
        <v>114.66000000000001</v>
      </c>
      <c r="DZ37" s="87">
        <f t="shared" si="111"/>
        <v>270.45923136093916</v>
      </c>
      <c r="EA37" s="87">
        <f t="shared" si="112"/>
        <v>0</v>
      </c>
      <c r="EB37" s="87">
        <f t="shared" si="113"/>
        <v>1.1466E-2</v>
      </c>
      <c r="EC37" s="92">
        <f t="shared" si="114"/>
        <v>4.8327228038083078E-2</v>
      </c>
      <c r="ED37" s="87">
        <f t="shared" si="115"/>
        <v>48327.228038083078</v>
      </c>
      <c r="EE37" s="91">
        <f t="shared" si="116"/>
        <v>43.996127059648714</v>
      </c>
      <c r="EF37" s="93">
        <f t="shared" si="117"/>
        <v>155.5578038555025</v>
      </c>
      <c r="EG37" s="93">
        <f t="shared" si="118"/>
        <v>466.67341156650747</v>
      </c>
      <c r="EH37" s="91">
        <f t="shared" si="119"/>
        <v>3.8860758460228002</v>
      </c>
      <c r="EI37" s="91">
        <f t="shared" si="120"/>
        <v>3.0318305354711559E-2</v>
      </c>
      <c r="EJ37" s="91">
        <f t="shared" si="121"/>
        <v>0</v>
      </c>
      <c r="EK37" s="91">
        <f t="shared" si="122"/>
        <v>59.9359763241875</v>
      </c>
      <c r="EL37" s="91">
        <f t="shared" si="123"/>
        <v>27.244226972562494</v>
      </c>
    </row>
    <row r="38" spans="1:142" x14ac:dyDescent="0.4">
      <c r="A38" s="21">
        <v>77</v>
      </c>
      <c r="B38" s="21" t="s">
        <v>94</v>
      </c>
      <c r="C38" s="21">
        <v>4.3078500000000002</v>
      </c>
      <c r="D38" s="21">
        <v>619836</v>
      </c>
      <c r="E38" s="21">
        <v>6081651.5999999996</v>
      </c>
      <c r="F38" s="21">
        <v>786.2</v>
      </c>
      <c r="G38" s="21">
        <v>17</v>
      </c>
      <c r="H38" s="21">
        <v>0</v>
      </c>
      <c r="I38" s="21">
        <v>25.85</v>
      </c>
      <c r="J38" s="21">
        <v>0</v>
      </c>
      <c r="K38" s="21">
        <v>100</v>
      </c>
      <c r="L38" s="21">
        <v>3.4</v>
      </c>
      <c r="M38" s="21">
        <v>100</v>
      </c>
      <c r="N38" s="21">
        <v>1</v>
      </c>
      <c r="O38" s="35">
        <v>11</v>
      </c>
      <c r="P38" s="21">
        <v>90</v>
      </c>
      <c r="Q38" s="4">
        <v>781.16</v>
      </c>
      <c r="R38" s="4">
        <v>30.899999619999999</v>
      </c>
      <c r="S38" s="89">
        <f t="shared" si="0"/>
        <v>21.9725</v>
      </c>
      <c r="T38" s="90">
        <f t="shared" si="1"/>
        <v>3.2456920022533735</v>
      </c>
      <c r="U38" s="91">
        <f t="shared" si="2"/>
        <v>515.17765567083813</v>
      </c>
      <c r="V38" s="91">
        <f t="shared" si="3"/>
        <v>402436.17750383192</v>
      </c>
      <c r="W38" s="87">
        <f t="shared" si="4"/>
        <v>4024361775.0383191</v>
      </c>
      <c r="X38" s="90">
        <f t="shared" si="5"/>
        <v>4.0243617750383187</v>
      </c>
      <c r="Y38" s="87">
        <f t="shared" si="6"/>
        <v>0.5</v>
      </c>
      <c r="Z38" s="87">
        <f t="shared" si="7"/>
        <v>11.74</v>
      </c>
      <c r="AA38" s="87">
        <f t="shared" si="8"/>
        <v>0.33600000000000002</v>
      </c>
      <c r="AB38" s="90">
        <f t="shared" si="9"/>
        <v>0.21049654582522501</v>
      </c>
      <c r="AC38" s="91">
        <f t="shared" si="10"/>
        <v>0</v>
      </c>
      <c r="AD38" s="91">
        <f t="shared" si="11"/>
        <v>0.11400070582522499</v>
      </c>
      <c r="AE38" s="91">
        <f t="shared" si="12"/>
        <v>3.1323890747801335</v>
      </c>
      <c r="AF38" s="91">
        <f t="shared" si="13"/>
        <v>9.3971672243404001</v>
      </c>
      <c r="AG38" s="87">
        <f t="shared" si="14"/>
        <v>0</v>
      </c>
      <c r="AH38" s="87">
        <f t="shared" si="15"/>
        <v>1</v>
      </c>
      <c r="AI38" s="92">
        <f t="shared" si="16"/>
        <v>11</v>
      </c>
      <c r="AJ38" s="87">
        <f t="shared" si="17"/>
        <v>21.9725</v>
      </c>
      <c r="AK38" s="87">
        <f t="shared" si="18"/>
        <v>366.85901449174941</v>
      </c>
      <c r="AL38" s="87">
        <f t="shared" si="19"/>
        <v>0.11400070582522499</v>
      </c>
      <c r="AM38" s="87">
        <f t="shared" si="20"/>
        <v>2.19725E-3</v>
      </c>
      <c r="AN38" s="92">
        <f t="shared" si="21"/>
        <v>8.8425289102029465E-3</v>
      </c>
      <c r="AO38" s="87">
        <f t="shared" si="22"/>
        <v>8842.5289102029474</v>
      </c>
      <c r="AP38" s="91">
        <f t="shared" si="23"/>
        <v>42.007952555881303</v>
      </c>
      <c r="AQ38" s="93">
        <f t="shared" si="24"/>
        <v>45.842006395734579</v>
      </c>
      <c r="AR38" s="93">
        <f t="shared" si="25"/>
        <v>137.52601918720376</v>
      </c>
      <c r="AS38" s="91">
        <f t="shared" si="26"/>
        <v>20.547178806336845</v>
      </c>
      <c r="AT38" s="91">
        <f t="shared" si="27"/>
        <v>4.9157928239897419</v>
      </c>
      <c r="AU38" s="91">
        <f t="shared" si="28"/>
        <v>2.3423928866395043</v>
      </c>
      <c r="AV38" s="91">
        <f t="shared" si="29"/>
        <v>1.1754609252198667</v>
      </c>
      <c r="AW38" s="91">
        <f t="shared" si="30"/>
        <v>0</v>
      </c>
      <c r="AX38" s="95">
        <f t="shared" si="31"/>
        <v>43.945</v>
      </c>
      <c r="AY38" s="90">
        <f t="shared" si="32"/>
        <v>3.2456920022533735</v>
      </c>
      <c r="AZ38" s="91">
        <f t="shared" si="33"/>
        <v>515.17765567083813</v>
      </c>
      <c r="BA38" s="91">
        <f t="shared" si="34"/>
        <v>402436.17750383192</v>
      </c>
      <c r="BB38" s="87">
        <f t="shared" si="35"/>
        <v>4024361775.0383191</v>
      </c>
      <c r="BC38" s="90">
        <f t="shared" si="36"/>
        <v>4.0243617750383187</v>
      </c>
      <c r="BD38" s="87">
        <f t="shared" si="37"/>
        <v>0.5</v>
      </c>
      <c r="BE38" s="87">
        <f t="shared" si="38"/>
        <v>11.74</v>
      </c>
      <c r="BF38" s="87">
        <f t="shared" si="39"/>
        <v>0.33600000000000002</v>
      </c>
      <c r="BG38" s="90">
        <f t="shared" si="40"/>
        <v>0.42099309165045001</v>
      </c>
      <c r="BH38" s="91">
        <f t="shared" si="41"/>
        <v>0.13150557165044996</v>
      </c>
      <c r="BI38" s="91">
        <f t="shared" si="42"/>
        <v>0.32449725165044996</v>
      </c>
      <c r="BJ38" s="91">
        <f t="shared" si="43"/>
        <v>6.264778149560267</v>
      </c>
      <c r="BK38" s="91">
        <f t="shared" si="44"/>
        <v>18.7943344486808</v>
      </c>
      <c r="BL38" s="87">
        <f t="shared" si="45"/>
        <v>0</v>
      </c>
      <c r="BM38" s="87">
        <f t="shared" si="46"/>
        <v>1</v>
      </c>
      <c r="BN38" s="92">
        <f t="shared" si="47"/>
        <v>11</v>
      </c>
      <c r="BO38" s="87">
        <f t="shared" si="48"/>
        <v>43.945</v>
      </c>
      <c r="BP38" s="87">
        <f t="shared" si="49"/>
        <v>366.85901449174941</v>
      </c>
      <c r="BQ38" s="87">
        <f t="shared" si="50"/>
        <v>0.32449725165044996</v>
      </c>
      <c r="BR38" s="87">
        <f t="shared" si="51"/>
        <v>4.3945E-3</v>
      </c>
      <c r="BS38" s="92">
        <f t="shared" si="52"/>
        <v>1.7685057820405893E-2</v>
      </c>
      <c r="BT38" s="87">
        <f t="shared" si="53"/>
        <v>17685.057820405895</v>
      </c>
      <c r="BU38" s="91">
        <f t="shared" si="54"/>
        <v>42.007952555881303</v>
      </c>
      <c r="BV38" s="93">
        <f t="shared" si="55"/>
        <v>22.921003197867289</v>
      </c>
      <c r="BW38" s="93">
        <f t="shared" si="56"/>
        <v>68.763009593601879</v>
      </c>
      <c r="BX38" s="91">
        <f t="shared" si="57"/>
        <v>29.379327978253826</v>
      </c>
      <c r="BY38" s="91">
        <f t="shared" si="58"/>
        <v>14.370191081704617</v>
      </c>
      <c r="BZ38" s="91">
        <f t="shared" si="59"/>
        <v>9.5335111842805365</v>
      </c>
      <c r="CA38" s="91">
        <f t="shared" si="60"/>
        <v>0</v>
      </c>
      <c r="CB38" s="91">
        <f t="shared" si="61"/>
        <v>0</v>
      </c>
      <c r="CC38" s="95">
        <f t="shared" si="62"/>
        <v>65.917500000000004</v>
      </c>
      <c r="CD38" s="90">
        <f t="shared" si="63"/>
        <v>3.2456920022533735</v>
      </c>
      <c r="CE38" s="91">
        <f t="shared" si="64"/>
        <v>515.17765567083813</v>
      </c>
      <c r="CF38" s="91">
        <f t="shared" si="65"/>
        <v>402436.17750383192</v>
      </c>
      <c r="CG38" s="87">
        <f t="shared" si="66"/>
        <v>4024361775.0383191</v>
      </c>
      <c r="CH38" s="90">
        <f t="shared" si="67"/>
        <v>4.0243617750383187</v>
      </c>
      <c r="CI38" s="87">
        <f t="shared" si="68"/>
        <v>0.5</v>
      </c>
      <c r="CJ38" s="87">
        <f t="shared" si="69"/>
        <v>11.74</v>
      </c>
      <c r="CK38" s="87">
        <f t="shared" si="70"/>
        <v>0.33600000000000002</v>
      </c>
      <c r="CL38" s="90">
        <f t="shared" si="71"/>
        <v>0.6314896374756751</v>
      </c>
      <c r="CM38" s="91">
        <f t="shared" si="72"/>
        <v>0.34200211747567505</v>
      </c>
      <c r="CN38" s="91">
        <f t="shared" si="73"/>
        <v>0.53499379747567499</v>
      </c>
      <c r="CO38" s="91">
        <f t="shared" si="74"/>
        <v>9.3971672243404019</v>
      </c>
      <c r="CP38" s="91">
        <f t="shared" si="75"/>
        <v>28.191501673021207</v>
      </c>
      <c r="CQ38" s="87">
        <f t="shared" si="76"/>
        <v>0</v>
      </c>
      <c r="CR38" s="87">
        <f t="shared" si="77"/>
        <v>1</v>
      </c>
      <c r="CS38" s="92">
        <f t="shared" si="78"/>
        <v>11</v>
      </c>
      <c r="CT38" s="87">
        <f t="shared" si="79"/>
        <v>65.917500000000004</v>
      </c>
      <c r="CU38" s="87">
        <f t="shared" si="80"/>
        <v>366.85901449174941</v>
      </c>
      <c r="CV38" s="87">
        <f t="shared" si="81"/>
        <v>0.53499379747567499</v>
      </c>
      <c r="CW38" s="87">
        <f t="shared" si="82"/>
        <v>6.5917500000000004E-3</v>
      </c>
      <c r="CX38" s="92">
        <f t="shared" si="83"/>
        <v>2.652758673060884E-2</v>
      </c>
      <c r="CY38" s="87">
        <f t="shared" si="84"/>
        <v>26527.58673060884</v>
      </c>
      <c r="CZ38" s="91">
        <f t="shared" si="85"/>
        <v>42.007952555881303</v>
      </c>
      <c r="DA38" s="93">
        <f t="shared" si="86"/>
        <v>15.280668798578191</v>
      </c>
      <c r="DB38" s="93">
        <f t="shared" si="87"/>
        <v>45.842006395734572</v>
      </c>
      <c r="DC38" s="91">
        <f t="shared" si="88"/>
        <v>33.098253401694059</v>
      </c>
      <c r="DD38" s="91">
        <f t="shared" si="89"/>
        <v>20.547178806336849</v>
      </c>
      <c r="DE38" s="91">
        <f t="shared" si="90"/>
        <v>17.707360277184481</v>
      </c>
      <c r="DF38" s="91">
        <f t="shared" si="91"/>
        <v>0</v>
      </c>
      <c r="DG38" s="91">
        <f t="shared" si="92"/>
        <v>0</v>
      </c>
      <c r="DH38" s="95">
        <f t="shared" si="93"/>
        <v>87.89</v>
      </c>
      <c r="DI38" s="90">
        <f t="shared" si="94"/>
        <v>3.2456920022533735</v>
      </c>
      <c r="DJ38" s="91">
        <f t="shared" si="95"/>
        <v>515.17765567083813</v>
      </c>
      <c r="DK38" s="91">
        <f t="shared" si="96"/>
        <v>402436.17750383192</v>
      </c>
      <c r="DL38" s="87">
        <f t="shared" si="97"/>
        <v>4024361775.0383191</v>
      </c>
      <c r="DM38" s="90">
        <f t="shared" si="98"/>
        <v>4.0243617750383187</v>
      </c>
      <c r="DN38" s="87">
        <f t="shared" si="99"/>
        <v>0.5</v>
      </c>
      <c r="DO38" s="87">
        <f t="shared" si="100"/>
        <v>11.74</v>
      </c>
      <c r="DP38" s="87">
        <f t="shared" si="101"/>
        <v>0.33600000000000002</v>
      </c>
      <c r="DQ38" s="90">
        <f t="shared" si="102"/>
        <v>0.84198618330090003</v>
      </c>
      <c r="DR38" s="91">
        <f t="shared" si="103"/>
        <v>0.55249866330089992</v>
      </c>
      <c r="DS38" s="91">
        <f t="shared" si="104"/>
        <v>0.74549034330090003</v>
      </c>
      <c r="DT38" s="91">
        <f t="shared" si="105"/>
        <v>12.529556299120534</v>
      </c>
      <c r="DU38" s="91">
        <f t="shared" si="106"/>
        <v>37.5886688973616</v>
      </c>
      <c r="DV38" s="87">
        <f t="shared" si="107"/>
        <v>0</v>
      </c>
      <c r="DW38" s="87">
        <f t="shared" si="108"/>
        <v>1</v>
      </c>
      <c r="DX38" s="92">
        <f t="shared" si="109"/>
        <v>11</v>
      </c>
      <c r="DY38" s="87">
        <f t="shared" si="110"/>
        <v>87.89</v>
      </c>
      <c r="DZ38" s="87">
        <f t="shared" si="111"/>
        <v>366.85901449174941</v>
      </c>
      <c r="EA38" s="87">
        <f t="shared" si="112"/>
        <v>0.74549034330090003</v>
      </c>
      <c r="EB38" s="87">
        <f t="shared" si="113"/>
        <v>8.7889999999999999E-3</v>
      </c>
      <c r="EC38" s="92">
        <f t="shared" si="114"/>
        <v>3.5370115640811786E-2</v>
      </c>
      <c r="ED38" s="87">
        <f t="shared" si="115"/>
        <v>35370.115640811789</v>
      </c>
      <c r="EE38" s="91">
        <f t="shared" si="116"/>
        <v>42.007952555881303</v>
      </c>
      <c r="EF38" s="93">
        <f t="shared" si="117"/>
        <v>11.460501598933645</v>
      </c>
      <c r="EG38" s="93">
        <f t="shared" si="118"/>
        <v>34.38150479680094</v>
      </c>
      <c r="EH38" s="91">
        <f t="shared" si="119"/>
        <v>35.13069051177564</v>
      </c>
      <c r="EI38" s="91">
        <f t="shared" si="120"/>
        <v>24.569540190634342</v>
      </c>
      <c r="EJ38" s="91">
        <f t="shared" si="121"/>
        <v>26.189590530021292</v>
      </c>
      <c r="EK38" s="91">
        <f t="shared" si="122"/>
        <v>0</v>
      </c>
      <c r="EL38" s="91">
        <f t="shared" si="123"/>
        <v>0</v>
      </c>
    </row>
    <row r="39" spans="1:142" x14ac:dyDescent="0.4">
      <c r="A39" s="21">
        <v>127</v>
      </c>
      <c r="B39" s="21" t="s">
        <v>94</v>
      </c>
      <c r="C39" s="21">
        <v>109.3621</v>
      </c>
      <c r="D39" s="21">
        <v>620704.19999999995</v>
      </c>
      <c r="E39" s="21">
        <v>6082561.9000000004</v>
      </c>
      <c r="F39" s="21">
        <v>787.3</v>
      </c>
      <c r="G39" s="21">
        <v>19</v>
      </c>
      <c r="H39" s="21">
        <v>0</v>
      </c>
      <c r="I39" s="21">
        <v>60</v>
      </c>
      <c r="J39" s="21">
        <v>0</v>
      </c>
      <c r="K39" s="21">
        <v>100</v>
      </c>
      <c r="L39" s="21">
        <v>3.2</v>
      </c>
      <c r="M39" s="21">
        <v>100</v>
      </c>
      <c r="N39" s="21">
        <v>0</v>
      </c>
      <c r="O39" s="35">
        <v>10</v>
      </c>
      <c r="P39" s="21">
        <v>90</v>
      </c>
      <c r="Q39" s="4">
        <v>781.16</v>
      </c>
      <c r="R39" s="4">
        <v>30.899999619999999</v>
      </c>
      <c r="S39" s="89">
        <f t="shared" si="0"/>
        <v>48</v>
      </c>
      <c r="T39" s="90">
        <f t="shared" si="1"/>
        <v>3.4412021192905757</v>
      </c>
      <c r="U39" s="91">
        <f t="shared" si="2"/>
        <v>531.73540748271887</v>
      </c>
      <c r="V39" s="91">
        <f t="shared" si="3"/>
        <v>415370.43090920063</v>
      </c>
      <c r="W39" s="87">
        <f t="shared" si="4"/>
        <v>4153704309.0920062</v>
      </c>
      <c r="X39" s="90">
        <f t="shared" si="5"/>
        <v>4.1537043090920065</v>
      </c>
      <c r="Y39" s="87">
        <f t="shared" si="6"/>
        <v>0.5</v>
      </c>
      <c r="Z39" s="87">
        <f t="shared" si="7"/>
        <v>11.74</v>
      </c>
      <c r="AA39" s="87">
        <f t="shared" si="8"/>
        <v>0.33600000000000002</v>
      </c>
      <c r="AB39" s="90">
        <f t="shared" si="9"/>
        <v>0.45983999087999999</v>
      </c>
      <c r="AC39" s="91">
        <f t="shared" si="10"/>
        <v>0</v>
      </c>
      <c r="AD39" s="91">
        <f t="shared" si="11"/>
        <v>0</v>
      </c>
      <c r="AE39" s="91">
        <f t="shared" si="12"/>
        <v>6.8428570071428574</v>
      </c>
      <c r="AF39" s="91">
        <f t="shared" si="13"/>
        <v>20.528571021428572</v>
      </c>
      <c r="AG39" s="87">
        <f t="shared" si="14"/>
        <v>0</v>
      </c>
      <c r="AH39" s="87">
        <f t="shared" si="15"/>
        <v>0</v>
      </c>
      <c r="AI39" s="92">
        <f t="shared" si="16"/>
        <v>10</v>
      </c>
      <c r="AJ39" s="87">
        <f t="shared" si="17"/>
        <v>48</v>
      </c>
      <c r="AK39" s="87">
        <f t="shared" si="18"/>
        <v>403.1139338200544</v>
      </c>
      <c r="AL39" s="87">
        <f t="shared" si="19"/>
        <v>0</v>
      </c>
      <c r="AM39" s="87">
        <f t="shared" si="20"/>
        <v>4.7999999999999996E-3</v>
      </c>
      <c r="AN39" s="92">
        <f t="shared" si="21"/>
        <v>1.9937780683641628E-2</v>
      </c>
      <c r="AO39" s="87">
        <f t="shared" si="22"/>
        <v>19937.780683641628</v>
      </c>
      <c r="AP39" s="91">
        <f t="shared" si="23"/>
        <v>43.358083418291898</v>
      </c>
      <c r="AQ39" s="93">
        <f t="shared" si="24"/>
        <v>532.73118662688853</v>
      </c>
      <c r="AR39" s="93">
        <f t="shared" si="25"/>
        <v>1598.1935598806656</v>
      </c>
      <c r="AS39" s="91">
        <f t="shared" si="26"/>
        <v>1.0661529856136831E-2</v>
      </c>
      <c r="AT39" s="91">
        <f t="shared" si="27"/>
        <v>6.4464175013160661E-10</v>
      </c>
      <c r="AU39" s="91">
        <f t="shared" si="28"/>
        <v>0</v>
      </c>
      <c r="AV39" s="91">
        <f t="shared" si="29"/>
        <v>102.51924299285714</v>
      </c>
      <c r="AW39" s="91">
        <f t="shared" si="30"/>
        <v>88.833528978571422</v>
      </c>
      <c r="AX39" s="95">
        <f t="shared" si="31"/>
        <v>96</v>
      </c>
      <c r="AY39" s="90">
        <f t="shared" si="32"/>
        <v>3.4412021192905757</v>
      </c>
      <c r="AZ39" s="91">
        <f t="shared" si="33"/>
        <v>531.73540748271887</v>
      </c>
      <c r="BA39" s="91">
        <f t="shared" si="34"/>
        <v>415370.43090920063</v>
      </c>
      <c r="BB39" s="87">
        <f t="shared" si="35"/>
        <v>4153704309.0920062</v>
      </c>
      <c r="BC39" s="90">
        <f t="shared" si="36"/>
        <v>4.1537043090920065</v>
      </c>
      <c r="BD39" s="87">
        <f t="shared" si="37"/>
        <v>0.5</v>
      </c>
      <c r="BE39" s="87">
        <f t="shared" si="38"/>
        <v>11.74</v>
      </c>
      <c r="BF39" s="87">
        <f t="shared" si="39"/>
        <v>0.33600000000000002</v>
      </c>
      <c r="BG39" s="90">
        <f t="shared" si="40"/>
        <v>0.91967998175999999</v>
      </c>
      <c r="BH39" s="91">
        <f t="shared" si="41"/>
        <v>0</v>
      </c>
      <c r="BI39" s="91">
        <f t="shared" si="42"/>
        <v>0</v>
      </c>
      <c r="BJ39" s="91">
        <f t="shared" si="43"/>
        <v>13.685714014285715</v>
      </c>
      <c r="BK39" s="91">
        <f t="shared" si="44"/>
        <v>41.057142042857144</v>
      </c>
      <c r="BL39" s="87">
        <f t="shared" si="45"/>
        <v>0</v>
      </c>
      <c r="BM39" s="87">
        <f t="shared" si="46"/>
        <v>0</v>
      </c>
      <c r="BN39" s="92">
        <f t="shared" si="47"/>
        <v>10</v>
      </c>
      <c r="BO39" s="87">
        <f t="shared" si="48"/>
        <v>96</v>
      </c>
      <c r="BP39" s="87">
        <f t="shared" si="49"/>
        <v>403.1139338200544</v>
      </c>
      <c r="BQ39" s="87">
        <f t="shared" si="50"/>
        <v>0</v>
      </c>
      <c r="BR39" s="87">
        <f t="shared" si="51"/>
        <v>9.5999999999999992E-3</v>
      </c>
      <c r="BS39" s="92">
        <f t="shared" si="52"/>
        <v>3.9875561367283256E-2</v>
      </c>
      <c r="BT39" s="87">
        <f t="shared" si="53"/>
        <v>39875.561367283255</v>
      </c>
      <c r="BU39" s="91">
        <f t="shared" si="54"/>
        <v>43.358083418291898</v>
      </c>
      <c r="BV39" s="93">
        <f t="shared" si="55"/>
        <v>266.36559331344426</v>
      </c>
      <c r="BW39" s="93">
        <f t="shared" si="56"/>
        <v>799.09677994033279</v>
      </c>
      <c r="BX39" s="91">
        <f t="shared" si="57"/>
        <v>0.67989962558379924</v>
      </c>
      <c r="BY39" s="91">
        <f t="shared" si="58"/>
        <v>1.6718382331170646E-4</v>
      </c>
      <c r="BZ39" s="91">
        <f t="shared" si="59"/>
        <v>0</v>
      </c>
      <c r="CA39" s="91">
        <f t="shared" si="60"/>
        <v>95.67638598571429</v>
      </c>
      <c r="CB39" s="91">
        <f t="shared" si="61"/>
        <v>68.304957957142847</v>
      </c>
      <c r="CC39" s="95">
        <f t="shared" si="62"/>
        <v>144</v>
      </c>
      <c r="CD39" s="90">
        <f t="shared" si="63"/>
        <v>3.4412021192905757</v>
      </c>
      <c r="CE39" s="91">
        <f t="shared" si="64"/>
        <v>531.73540748271887</v>
      </c>
      <c r="CF39" s="91">
        <f t="shared" si="65"/>
        <v>415370.43090920063</v>
      </c>
      <c r="CG39" s="87">
        <f t="shared" si="66"/>
        <v>4153704309.0920062</v>
      </c>
      <c r="CH39" s="90">
        <f t="shared" si="67"/>
        <v>4.1537043090920065</v>
      </c>
      <c r="CI39" s="87">
        <f t="shared" si="68"/>
        <v>0.5</v>
      </c>
      <c r="CJ39" s="87">
        <f t="shared" si="69"/>
        <v>11.74</v>
      </c>
      <c r="CK39" s="87">
        <f t="shared" si="70"/>
        <v>0.33600000000000002</v>
      </c>
      <c r="CL39" s="90">
        <f t="shared" si="71"/>
        <v>1.37951997264</v>
      </c>
      <c r="CM39" s="91">
        <f t="shared" si="72"/>
        <v>0</v>
      </c>
      <c r="CN39" s="91">
        <f t="shared" si="73"/>
        <v>0</v>
      </c>
      <c r="CO39" s="91">
        <f t="shared" si="74"/>
        <v>20.528571021428569</v>
      </c>
      <c r="CP39" s="91">
        <f t="shared" si="75"/>
        <v>61.585713064285706</v>
      </c>
      <c r="CQ39" s="87">
        <f t="shared" si="76"/>
        <v>0</v>
      </c>
      <c r="CR39" s="87">
        <f t="shared" si="77"/>
        <v>0</v>
      </c>
      <c r="CS39" s="92">
        <f t="shared" si="78"/>
        <v>10</v>
      </c>
      <c r="CT39" s="87">
        <f t="shared" si="79"/>
        <v>144</v>
      </c>
      <c r="CU39" s="87">
        <f t="shared" si="80"/>
        <v>403.1139338200544</v>
      </c>
      <c r="CV39" s="87">
        <f t="shared" si="81"/>
        <v>0</v>
      </c>
      <c r="CW39" s="87">
        <f t="shared" si="82"/>
        <v>1.44E-2</v>
      </c>
      <c r="CX39" s="92">
        <f t="shared" si="83"/>
        <v>5.9813342050924895E-2</v>
      </c>
      <c r="CY39" s="87">
        <f t="shared" si="84"/>
        <v>59813.342050924897</v>
      </c>
      <c r="CZ39" s="91">
        <f t="shared" si="85"/>
        <v>43.358083418291912</v>
      </c>
      <c r="DA39" s="93">
        <f t="shared" si="86"/>
        <v>177.57706220896284</v>
      </c>
      <c r="DB39" s="93">
        <f t="shared" si="87"/>
        <v>532.73118662688853</v>
      </c>
      <c r="DC39" s="91">
        <f t="shared" si="88"/>
        <v>2.716355206470161</v>
      </c>
      <c r="DD39" s="91">
        <f t="shared" si="89"/>
        <v>1.0661529856136834E-2</v>
      </c>
      <c r="DE39" s="91">
        <f t="shared" si="90"/>
        <v>0</v>
      </c>
      <c r="DF39" s="91">
        <f t="shared" si="91"/>
        <v>88.833528978571422</v>
      </c>
      <c r="DG39" s="91">
        <f t="shared" si="92"/>
        <v>47.776386935714292</v>
      </c>
      <c r="DH39" s="95">
        <f t="shared" si="93"/>
        <v>192</v>
      </c>
      <c r="DI39" s="90">
        <f t="shared" si="94"/>
        <v>3.4412021192905757</v>
      </c>
      <c r="DJ39" s="91">
        <f t="shared" si="95"/>
        <v>531.73540748271887</v>
      </c>
      <c r="DK39" s="91">
        <f t="shared" si="96"/>
        <v>415370.43090920063</v>
      </c>
      <c r="DL39" s="87">
        <f t="shared" si="97"/>
        <v>4153704309.0920062</v>
      </c>
      <c r="DM39" s="90">
        <f t="shared" si="98"/>
        <v>4.1537043090920065</v>
      </c>
      <c r="DN39" s="87">
        <f t="shared" si="99"/>
        <v>0.5</v>
      </c>
      <c r="DO39" s="87">
        <f t="shared" si="100"/>
        <v>11.74</v>
      </c>
      <c r="DP39" s="87">
        <f t="shared" si="101"/>
        <v>0.33600000000000002</v>
      </c>
      <c r="DQ39" s="90">
        <f t="shared" si="102"/>
        <v>1.83935996352</v>
      </c>
      <c r="DR39" s="91">
        <f t="shared" si="103"/>
        <v>0</v>
      </c>
      <c r="DS39" s="91">
        <f t="shared" si="104"/>
        <v>0</v>
      </c>
      <c r="DT39" s="91">
        <f t="shared" si="105"/>
        <v>27.37142802857143</v>
      </c>
      <c r="DU39" s="91">
        <f t="shared" si="106"/>
        <v>82.114284085714289</v>
      </c>
      <c r="DV39" s="87">
        <f t="shared" si="107"/>
        <v>0</v>
      </c>
      <c r="DW39" s="87">
        <f t="shared" si="108"/>
        <v>0</v>
      </c>
      <c r="DX39" s="92">
        <f t="shared" si="109"/>
        <v>10</v>
      </c>
      <c r="DY39" s="87">
        <f t="shared" si="110"/>
        <v>192</v>
      </c>
      <c r="DZ39" s="87">
        <f t="shared" si="111"/>
        <v>403.1139338200544</v>
      </c>
      <c r="EA39" s="87">
        <f t="shared" si="112"/>
        <v>0</v>
      </c>
      <c r="EB39" s="87">
        <f t="shared" si="113"/>
        <v>1.9199999999999998E-2</v>
      </c>
      <c r="EC39" s="92">
        <f t="shared" si="114"/>
        <v>7.9751122734566512E-2</v>
      </c>
      <c r="ED39" s="87">
        <f t="shared" si="115"/>
        <v>79751.12273456651</v>
      </c>
      <c r="EE39" s="91">
        <f t="shared" si="116"/>
        <v>43.358083418291898</v>
      </c>
      <c r="EF39" s="93">
        <f t="shared" si="117"/>
        <v>133.18279665672213</v>
      </c>
      <c r="EG39" s="93">
        <f t="shared" si="118"/>
        <v>399.5483899701664</v>
      </c>
      <c r="EH39" s="91">
        <f t="shared" si="119"/>
        <v>5.4294700185310711</v>
      </c>
      <c r="EI39" s="91">
        <f t="shared" si="120"/>
        <v>8.5139709638557867E-2</v>
      </c>
      <c r="EJ39" s="91">
        <f t="shared" si="121"/>
        <v>0</v>
      </c>
      <c r="EK39" s="91">
        <f t="shared" si="122"/>
        <v>81.990671971428569</v>
      </c>
      <c r="EL39" s="91">
        <f t="shared" si="123"/>
        <v>27.247815914285709</v>
      </c>
    </row>
    <row r="40" spans="1:142" x14ac:dyDescent="0.4">
      <c r="A40" s="21">
        <v>106</v>
      </c>
      <c r="B40" s="21" t="s">
        <v>94</v>
      </c>
      <c r="C40" s="21">
        <v>99.606858000000003</v>
      </c>
      <c r="D40" s="21">
        <v>620302.4</v>
      </c>
      <c r="E40" s="21">
        <v>6082367.5999999996</v>
      </c>
      <c r="F40" s="21">
        <v>788.5</v>
      </c>
      <c r="G40" s="21">
        <v>11</v>
      </c>
      <c r="H40" s="21">
        <v>0</v>
      </c>
      <c r="I40" s="21">
        <v>60.95</v>
      </c>
      <c r="J40" s="21">
        <v>0</v>
      </c>
      <c r="K40" s="21">
        <v>100</v>
      </c>
      <c r="L40" s="21">
        <v>3.5</v>
      </c>
      <c r="M40" s="21">
        <v>100</v>
      </c>
      <c r="N40" s="21">
        <v>0</v>
      </c>
      <c r="O40" s="35">
        <v>4</v>
      </c>
      <c r="P40" s="21">
        <v>90</v>
      </c>
      <c r="Q40" s="4">
        <v>781.16</v>
      </c>
      <c r="R40" s="4">
        <v>30.899999619999999</v>
      </c>
      <c r="S40" s="89">
        <f t="shared" si="0"/>
        <v>53.331250000000004</v>
      </c>
      <c r="T40" s="90">
        <f t="shared" si="1"/>
        <v>2.5942500198766076</v>
      </c>
      <c r="U40" s="91">
        <f t="shared" si="2"/>
        <v>460.0070341833499</v>
      </c>
      <c r="V40" s="91">
        <f t="shared" si="3"/>
        <v>359339.09482266562</v>
      </c>
      <c r="W40" s="87">
        <f t="shared" si="4"/>
        <v>3593390948.226656</v>
      </c>
      <c r="X40" s="90">
        <f t="shared" si="5"/>
        <v>3.5933909482266562</v>
      </c>
      <c r="Y40" s="87">
        <f t="shared" si="6"/>
        <v>0.5</v>
      </c>
      <c r="Z40" s="87">
        <f t="shared" si="7"/>
        <v>11.74</v>
      </c>
      <c r="AA40" s="87">
        <f t="shared" si="8"/>
        <v>0.33600000000000002</v>
      </c>
      <c r="AB40" s="90">
        <f t="shared" si="9"/>
        <v>0.51091336486706251</v>
      </c>
      <c r="AC40" s="91">
        <f t="shared" si="10"/>
        <v>0</v>
      </c>
      <c r="AD40" s="91">
        <f t="shared" si="11"/>
        <v>0</v>
      </c>
      <c r="AE40" s="91">
        <f t="shared" si="12"/>
        <v>7.6028774533789054</v>
      </c>
      <c r="AF40" s="91">
        <f t="shared" si="13"/>
        <v>22.808632360136716</v>
      </c>
      <c r="AG40" s="87">
        <f t="shared" si="14"/>
        <v>0</v>
      </c>
      <c r="AH40" s="87">
        <f t="shared" si="15"/>
        <v>0</v>
      </c>
      <c r="AI40" s="92">
        <f t="shared" si="16"/>
        <v>4</v>
      </c>
      <c r="AJ40" s="87">
        <f t="shared" si="17"/>
        <v>53.331250000000004</v>
      </c>
      <c r="AK40" s="87">
        <f t="shared" si="18"/>
        <v>1003.4910918342573</v>
      </c>
      <c r="AL40" s="87">
        <f t="shared" si="19"/>
        <v>0</v>
      </c>
      <c r="AM40" s="87">
        <f t="shared" si="20"/>
        <v>5.3331250000000002E-3</v>
      </c>
      <c r="AN40" s="92">
        <f t="shared" si="21"/>
        <v>1.9164003100761287E-2</v>
      </c>
      <c r="AO40" s="87">
        <f t="shared" si="22"/>
        <v>19164.003100761289</v>
      </c>
      <c r="AP40" s="91">
        <f t="shared" si="23"/>
        <v>37.509300829794661</v>
      </c>
      <c r="AQ40" s="93">
        <f t="shared" si="24"/>
        <v>436.70684163459833</v>
      </c>
      <c r="AR40" s="93">
        <f t="shared" si="25"/>
        <v>1310.1205249037951</v>
      </c>
      <c r="AS40" s="91">
        <f t="shared" si="26"/>
        <v>4.1252737484288413E-2</v>
      </c>
      <c r="AT40" s="91">
        <f t="shared" si="27"/>
        <v>4.9897683198858451E-8</v>
      </c>
      <c r="AU40" s="91">
        <f t="shared" si="28"/>
        <v>0</v>
      </c>
      <c r="AV40" s="91">
        <f t="shared" si="29"/>
        <v>92.003980546621094</v>
      </c>
      <c r="AW40" s="91">
        <f t="shared" si="30"/>
        <v>76.79822563986329</v>
      </c>
      <c r="AX40" s="95">
        <f t="shared" si="31"/>
        <v>106.66250000000001</v>
      </c>
      <c r="AY40" s="90">
        <f t="shared" si="32"/>
        <v>2.5942500198766076</v>
      </c>
      <c r="AZ40" s="91">
        <f t="shared" si="33"/>
        <v>460.0070341833499</v>
      </c>
      <c r="BA40" s="91">
        <f t="shared" si="34"/>
        <v>359339.09482266562</v>
      </c>
      <c r="BB40" s="87">
        <f t="shared" si="35"/>
        <v>3593390948.226656</v>
      </c>
      <c r="BC40" s="90">
        <f t="shared" si="36"/>
        <v>3.5933909482266562</v>
      </c>
      <c r="BD40" s="87">
        <f t="shared" si="37"/>
        <v>0.5</v>
      </c>
      <c r="BE40" s="87">
        <f t="shared" si="38"/>
        <v>11.74</v>
      </c>
      <c r="BF40" s="87">
        <f t="shared" si="39"/>
        <v>0.33600000000000002</v>
      </c>
      <c r="BG40" s="90">
        <f t="shared" si="40"/>
        <v>1.021826729734125</v>
      </c>
      <c r="BH40" s="91">
        <f t="shared" si="41"/>
        <v>0</v>
      </c>
      <c r="BI40" s="91">
        <f t="shared" si="42"/>
        <v>0</v>
      </c>
      <c r="BJ40" s="91">
        <f t="shared" si="43"/>
        <v>15.205754906757811</v>
      </c>
      <c r="BK40" s="91">
        <f t="shared" si="44"/>
        <v>45.617264720273432</v>
      </c>
      <c r="BL40" s="87">
        <f t="shared" si="45"/>
        <v>0</v>
      </c>
      <c r="BM40" s="87">
        <f t="shared" si="46"/>
        <v>0</v>
      </c>
      <c r="BN40" s="92">
        <f t="shared" si="47"/>
        <v>4</v>
      </c>
      <c r="BO40" s="87">
        <f t="shared" si="48"/>
        <v>106.66250000000001</v>
      </c>
      <c r="BP40" s="87">
        <f t="shared" si="49"/>
        <v>1003.4910918342573</v>
      </c>
      <c r="BQ40" s="87">
        <f t="shared" si="50"/>
        <v>0</v>
      </c>
      <c r="BR40" s="87">
        <f t="shared" si="51"/>
        <v>1.066625E-2</v>
      </c>
      <c r="BS40" s="92">
        <f t="shared" si="52"/>
        <v>3.8328006201522574E-2</v>
      </c>
      <c r="BT40" s="87">
        <f t="shared" si="53"/>
        <v>38328.006201522578</v>
      </c>
      <c r="BU40" s="91">
        <f t="shared" si="54"/>
        <v>37.509300829794661</v>
      </c>
      <c r="BV40" s="93">
        <f t="shared" si="55"/>
        <v>218.35342081729917</v>
      </c>
      <c r="BW40" s="93">
        <f t="shared" si="56"/>
        <v>655.06026245189753</v>
      </c>
      <c r="BX40" s="91">
        <f t="shared" si="57"/>
        <v>1.243929797195453</v>
      </c>
      <c r="BY40" s="91">
        <f t="shared" si="58"/>
        <v>1.3680742705773589E-3</v>
      </c>
      <c r="BZ40" s="91">
        <f t="shared" si="59"/>
        <v>0</v>
      </c>
      <c r="CA40" s="91">
        <f t="shared" si="60"/>
        <v>84.401103093242199</v>
      </c>
      <c r="CB40" s="91">
        <f t="shared" si="61"/>
        <v>53.98959327972657</v>
      </c>
      <c r="CC40" s="95">
        <f t="shared" si="62"/>
        <v>159.99375000000001</v>
      </c>
      <c r="CD40" s="90">
        <f t="shared" si="63"/>
        <v>2.5942500198766076</v>
      </c>
      <c r="CE40" s="91">
        <f t="shared" si="64"/>
        <v>460.0070341833499</v>
      </c>
      <c r="CF40" s="91">
        <f t="shared" si="65"/>
        <v>359339.09482266562</v>
      </c>
      <c r="CG40" s="87">
        <f t="shared" si="66"/>
        <v>3593390948.226656</v>
      </c>
      <c r="CH40" s="90">
        <f t="shared" si="67"/>
        <v>3.5933909482266562</v>
      </c>
      <c r="CI40" s="87">
        <f t="shared" si="68"/>
        <v>0.5</v>
      </c>
      <c r="CJ40" s="87">
        <f t="shared" si="69"/>
        <v>11.74</v>
      </c>
      <c r="CK40" s="87">
        <f t="shared" si="70"/>
        <v>0.33600000000000002</v>
      </c>
      <c r="CL40" s="90">
        <f t="shared" si="71"/>
        <v>1.5327400946011875</v>
      </c>
      <c r="CM40" s="91">
        <f t="shared" si="72"/>
        <v>0</v>
      </c>
      <c r="CN40" s="91">
        <f t="shared" si="73"/>
        <v>0</v>
      </c>
      <c r="CO40" s="91">
        <f t="shared" si="74"/>
        <v>22.80863236013672</v>
      </c>
      <c r="CP40" s="91">
        <f t="shared" si="75"/>
        <v>68.425897080410152</v>
      </c>
      <c r="CQ40" s="87">
        <f t="shared" si="76"/>
        <v>0</v>
      </c>
      <c r="CR40" s="87">
        <f t="shared" si="77"/>
        <v>0</v>
      </c>
      <c r="CS40" s="92">
        <f t="shared" si="78"/>
        <v>4</v>
      </c>
      <c r="CT40" s="87">
        <f t="shared" si="79"/>
        <v>159.99375000000001</v>
      </c>
      <c r="CU40" s="87">
        <f t="shared" si="80"/>
        <v>1003.4910918342573</v>
      </c>
      <c r="CV40" s="87">
        <f t="shared" si="81"/>
        <v>0</v>
      </c>
      <c r="CW40" s="87">
        <f t="shared" si="82"/>
        <v>1.5999375E-2</v>
      </c>
      <c r="CX40" s="92">
        <f t="shared" si="83"/>
        <v>5.7492009302283854E-2</v>
      </c>
      <c r="CY40" s="87">
        <f t="shared" si="84"/>
        <v>57492.009302283856</v>
      </c>
      <c r="CZ40" s="91">
        <f t="shared" si="85"/>
        <v>37.509300829794647</v>
      </c>
      <c r="DA40" s="93">
        <f t="shared" si="86"/>
        <v>145.56894721153276</v>
      </c>
      <c r="DB40" s="93">
        <f t="shared" si="87"/>
        <v>436.70684163459833</v>
      </c>
      <c r="DC40" s="91">
        <f t="shared" si="88"/>
        <v>3.8717761213828679</v>
      </c>
      <c r="DD40" s="91">
        <f t="shared" si="89"/>
        <v>4.1252737484288399E-2</v>
      </c>
      <c r="DE40" s="91">
        <f t="shared" si="90"/>
        <v>0</v>
      </c>
      <c r="DF40" s="91">
        <f t="shared" si="91"/>
        <v>76.79822563986329</v>
      </c>
      <c r="DG40" s="91">
        <f t="shared" si="92"/>
        <v>31.18096091958985</v>
      </c>
      <c r="DH40" s="95">
        <f t="shared" si="93"/>
        <v>213.32500000000002</v>
      </c>
      <c r="DI40" s="90">
        <f t="shared" si="94"/>
        <v>2.5942500198766076</v>
      </c>
      <c r="DJ40" s="91">
        <f t="shared" si="95"/>
        <v>460.0070341833499</v>
      </c>
      <c r="DK40" s="91">
        <f t="shared" si="96"/>
        <v>359339.09482266562</v>
      </c>
      <c r="DL40" s="87">
        <f t="shared" si="97"/>
        <v>3593390948.226656</v>
      </c>
      <c r="DM40" s="90">
        <f t="shared" si="98"/>
        <v>3.5933909482266562</v>
      </c>
      <c r="DN40" s="87">
        <f t="shared" si="99"/>
        <v>0.5</v>
      </c>
      <c r="DO40" s="87">
        <f t="shared" si="100"/>
        <v>11.74</v>
      </c>
      <c r="DP40" s="87">
        <f t="shared" si="101"/>
        <v>0.33600000000000002</v>
      </c>
      <c r="DQ40" s="90">
        <f t="shared" si="102"/>
        <v>2.0436534594682501</v>
      </c>
      <c r="DR40" s="91">
        <f t="shared" si="103"/>
        <v>0</v>
      </c>
      <c r="DS40" s="91">
        <f t="shared" si="104"/>
        <v>0</v>
      </c>
      <c r="DT40" s="91">
        <f t="shared" si="105"/>
        <v>30.411509813515622</v>
      </c>
      <c r="DU40" s="91">
        <f t="shared" si="106"/>
        <v>91.234529440546865</v>
      </c>
      <c r="DV40" s="87">
        <f t="shared" si="107"/>
        <v>0</v>
      </c>
      <c r="DW40" s="87">
        <f t="shared" si="108"/>
        <v>0</v>
      </c>
      <c r="DX40" s="92">
        <f t="shared" si="109"/>
        <v>4</v>
      </c>
      <c r="DY40" s="87">
        <f t="shared" si="110"/>
        <v>213.32500000000002</v>
      </c>
      <c r="DZ40" s="87">
        <f t="shared" si="111"/>
        <v>1003.4910918342573</v>
      </c>
      <c r="EA40" s="87">
        <f t="shared" si="112"/>
        <v>0</v>
      </c>
      <c r="EB40" s="87">
        <f t="shared" si="113"/>
        <v>2.1332500000000001E-2</v>
      </c>
      <c r="EC40" s="92">
        <f t="shared" si="114"/>
        <v>7.6656012403045148E-2</v>
      </c>
      <c r="ED40" s="87">
        <f t="shared" si="115"/>
        <v>76656.012403045155</v>
      </c>
      <c r="EE40" s="91">
        <f t="shared" si="116"/>
        <v>37.509300829794661</v>
      </c>
      <c r="EF40" s="93">
        <f t="shared" si="117"/>
        <v>109.17671040864958</v>
      </c>
      <c r="EG40" s="93">
        <f t="shared" si="118"/>
        <v>327.53013122594876</v>
      </c>
      <c r="EH40" s="91">
        <f t="shared" si="119"/>
        <v>6.8307347316485441</v>
      </c>
      <c r="EI40" s="91">
        <f t="shared" si="120"/>
        <v>0.22652926824714736</v>
      </c>
      <c r="EJ40" s="91">
        <f t="shared" si="121"/>
        <v>0</v>
      </c>
      <c r="EK40" s="91">
        <f t="shared" si="122"/>
        <v>69.195348186484381</v>
      </c>
      <c r="EL40" s="91">
        <f t="shared" si="123"/>
        <v>8.3723285594531376</v>
      </c>
    </row>
    <row r="41" spans="1:142" x14ac:dyDescent="0.4">
      <c r="A41" s="21">
        <v>78</v>
      </c>
      <c r="B41" s="21" t="s">
        <v>94</v>
      </c>
      <c r="C41" s="21">
        <v>93.388644999999997</v>
      </c>
      <c r="D41" s="21">
        <v>619847.80000000005</v>
      </c>
      <c r="E41" s="21">
        <v>6081674.5999999996</v>
      </c>
      <c r="F41" s="21">
        <v>794.2</v>
      </c>
      <c r="G41" s="21">
        <v>14</v>
      </c>
      <c r="H41" s="21">
        <v>0</v>
      </c>
      <c r="I41" s="21">
        <v>28.81</v>
      </c>
      <c r="J41" s="21">
        <v>0</v>
      </c>
      <c r="K41" s="21">
        <v>100</v>
      </c>
      <c r="L41" s="21">
        <v>5.6</v>
      </c>
      <c r="M41" s="21">
        <v>100</v>
      </c>
      <c r="N41" s="21">
        <v>1</v>
      </c>
      <c r="O41" s="35">
        <v>15</v>
      </c>
      <c r="P41" s="21">
        <v>90</v>
      </c>
      <c r="Q41" s="4">
        <v>781.16</v>
      </c>
      <c r="R41" s="4">
        <v>30.899999619999999</v>
      </c>
      <c r="S41" s="89">
        <f t="shared" si="0"/>
        <v>40.333999999999996</v>
      </c>
      <c r="T41" s="90">
        <f t="shared" si="1"/>
        <v>2.9294544238463396</v>
      </c>
      <c r="U41" s="91">
        <f t="shared" si="2"/>
        <v>488.39549515554648</v>
      </c>
      <c r="V41" s="91">
        <f t="shared" si="3"/>
        <v>381515.02499570668</v>
      </c>
      <c r="W41" s="87">
        <f t="shared" si="4"/>
        <v>3815150249.957067</v>
      </c>
      <c r="X41" s="90">
        <f t="shared" si="5"/>
        <v>3.8151502499570671</v>
      </c>
      <c r="Y41" s="87">
        <f t="shared" si="6"/>
        <v>0.5</v>
      </c>
      <c r="Z41" s="87">
        <f t="shared" si="7"/>
        <v>11.74</v>
      </c>
      <c r="AA41" s="87">
        <f t="shared" si="8"/>
        <v>0.33600000000000002</v>
      </c>
      <c r="AB41" s="90">
        <f t="shared" si="9"/>
        <v>0.38639971233653997</v>
      </c>
      <c r="AC41" s="91">
        <f t="shared" si="10"/>
        <v>0</v>
      </c>
      <c r="AD41" s="91">
        <f t="shared" si="11"/>
        <v>0</v>
      </c>
      <c r="AE41" s="91">
        <f t="shared" si="12"/>
        <v>5.7499957192937492</v>
      </c>
      <c r="AF41" s="91">
        <f t="shared" si="13"/>
        <v>17.249987157881247</v>
      </c>
      <c r="AG41" s="87">
        <f t="shared" si="14"/>
        <v>0</v>
      </c>
      <c r="AH41" s="87">
        <f t="shared" si="15"/>
        <v>1</v>
      </c>
      <c r="AI41" s="92">
        <f t="shared" si="16"/>
        <v>15</v>
      </c>
      <c r="AJ41" s="87">
        <f t="shared" si="17"/>
        <v>40.333999999999996</v>
      </c>
      <c r="AK41" s="87">
        <f t="shared" si="18"/>
        <v>270.45923136093916</v>
      </c>
      <c r="AL41" s="87">
        <f t="shared" si="19"/>
        <v>0</v>
      </c>
      <c r="AM41" s="87">
        <f t="shared" si="20"/>
        <v>4.0333999999999995E-3</v>
      </c>
      <c r="AN41" s="92">
        <f t="shared" si="21"/>
        <v>1.5388027018176832E-2</v>
      </c>
      <c r="AO41" s="87">
        <f t="shared" si="22"/>
        <v>15388.027018176832</v>
      </c>
      <c r="AP41" s="91">
        <f t="shared" si="23"/>
        <v>39.824116133850602</v>
      </c>
      <c r="AQ41" s="93">
        <f t="shared" si="24"/>
        <v>541.38385231975201</v>
      </c>
      <c r="AR41" s="93">
        <f t="shared" si="25"/>
        <v>1624.1515569592561</v>
      </c>
      <c r="AS41" s="91">
        <f t="shared" si="26"/>
        <v>8.5560603488660392E-3</v>
      </c>
      <c r="AT41" s="91">
        <f t="shared" si="27"/>
        <v>3.9493827590639164E-10</v>
      </c>
      <c r="AU41" s="91">
        <f t="shared" si="28"/>
        <v>0</v>
      </c>
      <c r="AV41" s="91">
        <f t="shared" si="29"/>
        <v>87.638649280706247</v>
      </c>
      <c r="AW41" s="91">
        <f t="shared" si="30"/>
        <v>76.138657842118747</v>
      </c>
      <c r="AX41" s="95">
        <f t="shared" si="31"/>
        <v>80.667999999999992</v>
      </c>
      <c r="AY41" s="90">
        <f t="shared" si="32"/>
        <v>2.9294544238463396</v>
      </c>
      <c r="AZ41" s="91">
        <f t="shared" si="33"/>
        <v>488.39549515554648</v>
      </c>
      <c r="BA41" s="91">
        <f t="shared" si="34"/>
        <v>381515.02499570668</v>
      </c>
      <c r="BB41" s="87">
        <f t="shared" si="35"/>
        <v>3815150249.957067</v>
      </c>
      <c r="BC41" s="90">
        <f t="shared" si="36"/>
        <v>3.8151502499570671</v>
      </c>
      <c r="BD41" s="87">
        <f t="shared" si="37"/>
        <v>0.5</v>
      </c>
      <c r="BE41" s="87">
        <f t="shared" si="38"/>
        <v>11.74</v>
      </c>
      <c r="BF41" s="87">
        <f t="shared" si="39"/>
        <v>0.33600000000000002</v>
      </c>
      <c r="BG41" s="90">
        <f t="shared" si="40"/>
        <v>0.77279942467307994</v>
      </c>
      <c r="BH41" s="91">
        <f t="shared" si="41"/>
        <v>0</v>
      </c>
      <c r="BI41" s="91">
        <f t="shared" si="42"/>
        <v>0</v>
      </c>
      <c r="BJ41" s="91">
        <f t="shared" si="43"/>
        <v>11.499991438587498</v>
      </c>
      <c r="BK41" s="91">
        <f t="shared" si="44"/>
        <v>34.499974315762493</v>
      </c>
      <c r="BL41" s="87">
        <f t="shared" si="45"/>
        <v>0</v>
      </c>
      <c r="BM41" s="87">
        <f t="shared" si="46"/>
        <v>1</v>
      </c>
      <c r="BN41" s="92">
        <f t="shared" si="47"/>
        <v>15</v>
      </c>
      <c r="BO41" s="87">
        <f t="shared" si="48"/>
        <v>80.667999999999992</v>
      </c>
      <c r="BP41" s="87">
        <f t="shared" si="49"/>
        <v>270.45923136093916</v>
      </c>
      <c r="BQ41" s="87">
        <f t="shared" si="50"/>
        <v>0</v>
      </c>
      <c r="BR41" s="87">
        <f t="shared" si="51"/>
        <v>8.066799999999999E-3</v>
      </c>
      <c r="BS41" s="92">
        <f t="shared" si="52"/>
        <v>3.0776054036353664E-2</v>
      </c>
      <c r="BT41" s="87">
        <f t="shared" si="53"/>
        <v>30776.054036353664</v>
      </c>
      <c r="BU41" s="91">
        <f t="shared" si="54"/>
        <v>39.824116133850602</v>
      </c>
      <c r="BV41" s="93">
        <f t="shared" si="55"/>
        <v>270.691926159876</v>
      </c>
      <c r="BW41" s="93">
        <f t="shared" si="56"/>
        <v>812.07577847962807</v>
      </c>
      <c r="BX41" s="91">
        <f t="shared" si="57"/>
        <v>0.58372728305388932</v>
      </c>
      <c r="BY41" s="91">
        <f t="shared" si="58"/>
        <v>1.2541159342500545E-4</v>
      </c>
      <c r="BZ41" s="91">
        <f t="shared" si="59"/>
        <v>0</v>
      </c>
      <c r="CA41" s="91">
        <f t="shared" si="60"/>
        <v>81.888653561412497</v>
      </c>
      <c r="CB41" s="91">
        <f t="shared" si="61"/>
        <v>58.888670684237503</v>
      </c>
      <c r="CC41" s="95">
        <f t="shared" si="62"/>
        <v>121.00199999999998</v>
      </c>
      <c r="CD41" s="90">
        <f t="shared" si="63"/>
        <v>2.9294544238463396</v>
      </c>
      <c r="CE41" s="91">
        <f t="shared" si="64"/>
        <v>488.39549515554648</v>
      </c>
      <c r="CF41" s="91">
        <f t="shared" si="65"/>
        <v>381515.02499570668</v>
      </c>
      <c r="CG41" s="87">
        <f t="shared" si="66"/>
        <v>3815150249.957067</v>
      </c>
      <c r="CH41" s="90">
        <f t="shared" si="67"/>
        <v>3.8151502499570671</v>
      </c>
      <c r="CI41" s="87">
        <f t="shared" si="68"/>
        <v>0.5</v>
      </c>
      <c r="CJ41" s="87">
        <f t="shared" si="69"/>
        <v>11.74</v>
      </c>
      <c r="CK41" s="87">
        <f t="shared" si="70"/>
        <v>0.33600000000000002</v>
      </c>
      <c r="CL41" s="90">
        <f t="shared" si="71"/>
        <v>1.1591991370096197</v>
      </c>
      <c r="CM41" s="91">
        <f t="shared" si="72"/>
        <v>0</v>
      </c>
      <c r="CN41" s="91">
        <f t="shared" si="73"/>
        <v>0</v>
      </c>
      <c r="CO41" s="91">
        <f t="shared" si="74"/>
        <v>17.249987157881247</v>
      </c>
      <c r="CP41" s="91">
        <f t="shared" si="75"/>
        <v>51.749961473643737</v>
      </c>
      <c r="CQ41" s="87">
        <f t="shared" si="76"/>
        <v>0</v>
      </c>
      <c r="CR41" s="87">
        <f t="shared" si="77"/>
        <v>1</v>
      </c>
      <c r="CS41" s="92">
        <f t="shared" si="78"/>
        <v>15</v>
      </c>
      <c r="CT41" s="87">
        <f t="shared" si="79"/>
        <v>121.00199999999998</v>
      </c>
      <c r="CU41" s="87">
        <f t="shared" si="80"/>
        <v>270.45923136093916</v>
      </c>
      <c r="CV41" s="87">
        <f t="shared" si="81"/>
        <v>0</v>
      </c>
      <c r="CW41" s="87">
        <f t="shared" si="82"/>
        <v>1.2100199999999998E-2</v>
      </c>
      <c r="CX41" s="92">
        <f t="shared" si="83"/>
        <v>4.6164081054530494E-2</v>
      </c>
      <c r="CY41" s="87">
        <f t="shared" si="84"/>
        <v>46164.081054530492</v>
      </c>
      <c r="CZ41" s="91">
        <f t="shared" si="85"/>
        <v>39.824116133850602</v>
      </c>
      <c r="DA41" s="93">
        <f t="shared" si="86"/>
        <v>180.46128410658403</v>
      </c>
      <c r="DB41" s="93">
        <f t="shared" si="87"/>
        <v>541.38385231975201</v>
      </c>
      <c r="DC41" s="91">
        <f t="shared" si="88"/>
        <v>2.3851848575316987</v>
      </c>
      <c r="DD41" s="91">
        <f t="shared" si="89"/>
        <v>8.5560603488660392E-3</v>
      </c>
      <c r="DE41" s="91">
        <f t="shared" si="90"/>
        <v>0</v>
      </c>
      <c r="DF41" s="91">
        <f t="shared" si="91"/>
        <v>76.138657842118747</v>
      </c>
      <c r="DG41" s="91">
        <f t="shared" si="92"/>
        <v>41.63868352635626</v>
      </c>
      <c r="DH41" s="95">
        <f t="shared" si="93"/>
        <v>161.33599999999998</v>
      </c>
      <c r="DI41" s="90">
        <f t="shared" si="94"/>
        <v>2.9294544238463396</v>
      </c>
      <c r="DJ41" s="91">
        <f t="shared" si="95"/>
        <v>488.39549515554648</v>
      </c>
      <c r="DK41" s="91">
        <f t="shared" si="96"/>
        <v>381515.02499570668</v>
      </c>
      <c r="DL41" s="87">
        <f t="shared" si="97"/>
        <v>3815150249.957067</v>
      </c>
      <c r="DM41" s="90">
        <f t="shared" si="98"/>
        <v>3.8151502499570671</v>
      </c>
      <c r="DN41" s="87">
        <f t="shared" si="99"/>
        <v>0.5</v>
      </c>
      <c r="DO41" s="87">
        <f t="shared" si="100"/>
        <v>11.74</v>
      </c>
      <c r="DP41" s="87">
        <f t="shared" si="101"/>
        <v>0.33600000000000002</v>
      </c>
      <c r="DQ41" s="90">
        <f t="shared" si="102"/>
        <v>1.5455988493461599</v>
      </c>
      <c r="DR41" s="91">
        <f t="shared" si="103"/>
        <v>0</v>
      </c>
      <c r="DS41" s="91">
        <f t="shared" si="104"/>
        <v>0</v>
      </c>
      <c r="DT41" s="91">
        <f t="shared" si="105"/>
        <v>22.999982877174997</v>
      </c>
      <c r="DU41" s="91">
        <f t="shared" si="106"/>
        <v>68.999948631524987</v>
      </c>
      <c r="DV41" s="87">
        <f t="shared" si="107"/>
        <v>0</v>
      </c>
      <c r="DW41" s="87">
        <f t="shared" si="108"/>
        <v>1</v>
      </c>
      <c r="DX41" s="92">
        <f t="shared" si="109"/>
        <v>15</v>
      </c>
      <c r="DY41" s="87">
        <f t="shared" si="110"/>
        <v>161.33599999999998</v>
      </c>
      <c r="DZ41" s="87">
        <f t="shared" si="111"/>
        <v>270.45923136093916</v>
      </c>
      <c r="EA41" s="87">
        <f t="shared" si="112"/>
        <v>0</v>
      </c>
      <c r="EB41" s="87">
        <f t="shared" si="113"/>
        <v>1.6133599999999998E-2</v>
      </c>
      <c r="EC41" s="92">
        <f t="shared" si="114"/>
        <v>6.1552108072707327E-2</v>
      </c>
      <c r="ED41" s="87">
        <f t="shared" si="115"/>
        <v>61552.108072707328</v>
      </c>
      <c r="EE41" s="91">
        <f t="shared" si="116"/>
        <v>39.824116133850602</v>
      </c>
      <c r="EF41" s="93">
        <f t="shared" si="117"/>
        <v>135.345963079938</v>
      </c>
      <c r="EG41" s="93">
        <f t="shared" si="118"/>
        <v>406.03788923981404</v>
      </c>
      <c r="EH41" s="91">
        <f t="shared" si="119"/>
        <v>4.8214544601017622</v>
      </c>
      <c r="EI41" s="91">
        <f t="shared" si="120"/>
        <v>7.0671110512632182E-2</v>
      </c>
      <c r="EJ41" s="91">
        <f t="shared" si="121"/>
        <v>0</v>
      </c>
      <c r="EK41" s="91">
        <f t="shared" si="122"/>
        <v>70.388662122824996</v>
      </c>
      <c r="EL41" s="91">
        <f t="shared" si="123"/>
        <v>24.38869636847501</v>
      </c>
    </row>
    <row r="42" spans="1:142" x14ac:dyDescent="0.4">
      <c r="A42" s="21">
        <v>105</v>
      </c>
      <c r="B42" s="21" t="s">
        <v>94</v>
      </c>
      <c r="C42" s="21">
        <v>57.874946000000001</v>
      </c>
      <c r="D42" s="21">
        <v>620290.6</v>
      </c>
      <c r="E42" s="21">
        <v>6082307.7999999998</v>
      </c>
      <c r="F42" s="21">
        <v>794.8</v>
      </c>
      <c r="G42" s="21">
        <v>10</v>
      </c>
      <c r="H42" s="21">
        <v>0</v>
      </c>
      <c r="I42" s="21">
        <v>38.15</v>
      </c>
      <c r="J42" s="21">
        <v>0</v>
      </c>
      <c r="K42" s="21">
        <v>100</v>
      </c>
      <c r="L42" s="21">
        <v>2.8</v>
      </c>
      <c r="M42" s="21">
        <v>100</v>
      </c>
      <c r="N42" s="21">
        <v>0</v>
      </c>
      <c r="O42" s="35">
        <v>6</v>
      </c>
      <c r="P42" s="21">
        <v>90</v>
      </c>
      <c r="Q42" s="4">
        <v>781.16</v>
      </c>
      <c r="R42" s="4">
        <v>30.899999619999999</v>
      </c>
      <c r="S42" s="89">
        <f t="shared" si="0"/>
        <v>26.704999999999998</v>
      </c>
      <c r="T42" s="90">
        <f t="shared" si="1"/>
        <v>2.4803708090655769</v>
      </c>
      <c r="U42" s="91">
        <f t="shared" si="2"/>
        <v>450.36260381976365</v>
      </c>
      <c r="V42" s="91">
        <f t="shared" si="3"/>
        <v>351805.25159984658</v>
      </c>
      <c r="W42" s="87">
        <f t="shared" si="4"/>
        <v>3518052515.998466</v>
      </c>
      <c r="X42" s="90">
        <f t="shared" si="5"/>
        <v>3.5180525159984661</v>
      </c>
      <c r="Y42" s="87">
        <f t="shared" si="6"/>
        <v>0.5</v>
      </c>
      <c r="Z42" s="87">
        <f t="shared" si="7"/>
        <v>11.74</v>
      </c>
      <c r="AA42" s="87">
        <f t="shared" si="8"/>
        <v>0.33600000000000002</v>
      </c>
      <c r="AB42" s="90">
        <f t="shared" si="9"/>
        <v>0.25583389492605002</v>
      </c>
      <c r="AC42" s="91">
        <f t="shared" si="10"/>
        <v>0</v>
      </c>
      <c r="AD42" s="91">
        <f t="shared" si="11"/>
        <v>0</v>
      </c>
      <c r="AE42" s="91">
        <f t="shared" si="12"/>
        <v>3.8070520078281254</v>
      </c>
      <c r="AF42" s="91">
        <f t="shared" si="13"/>
        <v>11.421156023484375</v>
      </c>
      <c r="AG42" s="87">
        <f t="shared" si="14"/>
        <v>0</v>
      </c>
      <c r="AH42" s="87">
        <f t="shared" si="15"/>
        <v>0</v>
      </c>
      <c r="AI42" s="92">
        <f t="shared" si="16"/>
        <v>6</v>
      </c>
      <c r="AJ42" s="87">
        <f t="shared" si="17"/>
        <v>26.704999999999998</v>
      </c>
      <c r="AK42" s="87">
        <f t="shared" si="18"/>
        <v>669.67405634539386</v>
      </c>
      <c r="AL42" s="87">
        <f t="shared" si="19"/>
        <v>0</v>
      </c>
      <c r="AM42" s="87">
        <f t="shared" si="20"/>
        <v>2.6704999999999997E-3</v>
      </c>
      <c r="AN42" s="92">
        <f t="shared" si="21"/>
        <v>9.3949592439739032E-3</v>
      </c>
      <c r="AO42" s="87">
        <f t="shared" si="22"/>
        <v>9394.9592439739026</v>
      </c>
      <c r="AP42" s="91">
        <f t="shared" si="23"/>
        <v>36.722887116617443</v>
      </c>
      <c r="AQ42" s="93">
        <f t="shared" si="24"/>
        <v>506.73457118523339</v>
      </c>
      <c r="AR42" s="93">
        <f t="shared" si="25"/>
        <v>1520.2037135557</v>
      </c>
      <c r="AS42" s="91">
        <f t="shared" si="26"/>
        <v>1.3546065773324709E-2</v>
      </c>
      <c r="AT42" s="91">
        <f t="shared" si="27"/>
        <v>1.8431721712074067E-9</v>
      </c>
      <c r="AU42" s="91">
        <f t="shared" si="28"/>
        <v>0</v>
      </c>
      <c r="AV42" s="91">
        <f t="shared" si="29"/>
        <v>54.067893992171875</v>
      </c>
      <c r="AW42" s="91">
        <f t="shared" si="30"/>
        <v>46.453789976515623</v>
      </c>
      <c r="AX42" s="95">
        <f t="shared" si="31"/>
        <v>53.41</v>
      </c>
      <c r="AY42" s="90">
        <f t="shared" si="32"/>
        <v>2.4803708090655769</v>
      </c>
      <c r="AZ42" s="91">
        <f t="shared" si="33"/>
        <v>450.36260381976365</v>
      </c>
      <c r="BA42" s="91">
        <f t="shared" si="34"/>
        <v>351805.25159984658</v>
      </c>
      <c r="BB42" s="87">
        <f t="shared" si="35"/>
        <v>3518052515.998466</v>
      </c>
      <c r="BC42" s="90">
        <f t="shared" si="36"/>
        <v>3.5180525159984661</v>
      </c>
      <c r="BD42" s="87">
        <f t="shared" si="37"/>
        <v>0.5</v>
      </c>
      <c r="BE42" s="87">
        <f t="shared" si="38"/>
        <v>11.74</v>
      </c>
      <c r="BF42" s="87">
        <f t="shared" si="39"/>
        <v>0.33600000000000002</v>
      </c>
      <c r="BG42" s="90">
        <f t="shared" si="40"/>
        <v>0.51166778985210004</v>
      </c>
      <c r="BH42" s="91">
        <f t="shared" si="41"/>
        <v>0</v>
      </c>
      <c r="BI42" s="91">
        <f t="shared" si="42"/>
        <v>0</v>
      </c>
      <c r="BJ42" s="91">
        <f t="shared" si="43"/>
        <v>7.6141040156562507</v>
      </c>
      <c r="BK42" s="91">
        <f t="shared" si="44"/>
        <v>22.84231204696875</v>
      </c>
      <c r="BL42" s="87">
        <f t="shared" si="45"/>
        <v>0</v>
      </c>
      <c r="BM42" s="87">
        <f t="shared" si="46"/>
        <v>0</v>
      </c>
      <c r="BN42" s="92">
        <f t="shared" si="47"/>
        <v>6</v>
      </c>
      <c r="BO42" s="87">
        <f t="shared" si="48"/>
        <v>53.41</v>
      </c>
      <c r="BP42" s="87">
        <f t="shared" si="49"/>
        <v>669.67405634539386</v>
      </c>
      <c r="BQ42" s="87">
        <f t="shared" si="50"/>
        <v>0</v>
      </c>
      <c r="BR42" s="87">
        <f t="shared" si="51"/>
        <v>5.3409999999999994E-3</v>
      </c>
      <c r="BS42" s="92">
        <f t="shared" si="52"/>
        <v>1.8789918487947806E-2</v>
      </c>
      <c r="BT42" s="87">
        <f t="shared" si="53"/>
        <v>18789.918487947805</v>
      </c>
      <c r="BU42" s="91">
        <f t="shared" si="54"/>
        <v>36.722887116617443</v>
      </c>
      <c r="BV42" s="93">
        <f t="shared" si="55"/>
        <v>253.3672855926167</v>
      </c>
      <c r="BW42" s="93">
        <f t="shared" si="56"/>
        <v>760.10185677785</v>
      </c>
      <c r="BX42" s="91">
        <f t="shared" si="57"/>
        <v>0.70530181076478071</v>
      </c>
      <c r="BY42" s="91">
        <f t="shared" si="58"/>
        <v>2.6016649203873326E-4</v>
      </c>
      <c r="BZ42" s="91">
        <f t="shared" si="59"/>
        <v>0</v>
      </c>
      <c r="CA42" s="91">
        <f t="shared" si="60"/>
        <v>50.260841984343749</v>
      </c>
      <c r="CB42" s="91">
        <f t="shared" si="61"/>
        <v>35.032633953031251</v>
      </c>
      <c r="CC42" s="95">
        <f t="shared" si="62"/>
        <v>80.114999999999995</v>
      </c>
      <c r="CD42" s="90">
        <f t="shared" si="63"/>
        <v>2.4803708090655769</v>
      </c>
      <c r="CE42" s="91">
        <f t="shared" si="64"/>
        <v>450.36260381976365</v>
      </c>
      <c r="CF42" s="91">
        <f t="shared" si="65"/>
        <v>351805.25159984658</v>
      </c>
      <c r="CG42" s="87">
        <f t="shared" si="66"/>
        <v>3518052515.998466</v>
      </c>
      <c r="CH42" s="90">
        <f t="shared" si="67"/>
        <v>3.5180525159984661</v>
      </c>
      <c r="CI42" s="87">
        <f t="shared" si="68"/>
        <v>0.5</v>
      </c>
      <c r="CJ42" s="87">
        <f t="shared" si="69"/>
        <v>11.74</v>
      </c>
      <c r="CK42" s="87">
        <f t="shared" si="70"/>
        <v>0.33600000000000002</v>
      </c>
      <c r="CL42" s="90">
        <f t="shared" si="71"/>
        <v>0.76750168477814995</v>
      </c>
      <c r="CM42" s="91">
        <f t="shared" si="72"/>
        <v>0</v>
      </c>
      <c r="CN42" s="91">
        <f t="shared" si="73"/>
        <v>0</v>
      </c>
      <c r="CO42" s="91">
        <f t="shared" si="74"/>
        <v>11.421156023484373</v>
      </c>
      <c r="CP42" s="91">
        <f t="shared" si="75"/>
        <v>34.263468070453122</v>
      </c>
      <c r="CQ42" s="87">
        <f t="shared" si="76"/>
        <v>0</v>
      </c>
      <c r="CR42" s="87">
        <f t="shared" si="77"/>
        <v>0</v>
      </c>
      <c r="CS42" s="92">
        <f t="shared" si="78"/>
        <v>6</v>
      </c>
      <c r="CT42" s="87">
        <f t="shared" si="79"/>
        <v>80.114999999999995</v>
      </c>
      <c r="CU42" s="87">
        <f t="shared" si="80"/>
        <v>669.67405634539386</v>
      </c>
      <c r="CV42" s="87">
        <f t="shared" si="81"/>
        <v>0</v>
      </c>
      <c r="CW42" s="87">
        <f t="shared" si="82"/>
        <v>8.0114999999999995E-3</v>
      </c>
      <c r="CX42" s="92">
        <f t="shared" si="83"/>
        <v>2.8184877731921711E-2</v>
      </c>
      <c r="CY42" s="87">
        <f t="shared" si="84"/>
        <v>28184.877731921712</v>
      </c>
      <c r="CZ42" s="91">
        <f t="shared" si="85"/>
        <v>36.72288711661745</v>
      </c>
      <c r="DA42" s="93">
        <f t="shared" si="86"/>
        <v>168.91152372841114</v>
      </c>
      <c r="DB42" s="93">
        <f t="shared" si="87"/>
        <v>506.73457118523351</v>
      </c>
      <c r="DC42" s="91">
        <f t="shared" si="88"/>
        <v>2.6336755490016621</v>
      </c>
      <c r="DD42" s="91">
        <f t="shared" si="89"/>
        <v>1.3546065773324689E-2</v>
      </c>
      <c r="DE42" s="91">
        <f t="shared" si="90"/>
        <v>0</v>
      </c>
      <c r="DF42" s="91">
        <f t="shared" si="91"/>
        <v>46.45378997651563</v>
      </c>
      <c r="DG42" s="91">
        <f t="shared" si="92"/>
        <v>23.611477929546879</v>
      </c>
      <c r="DH42" s="95">
        <f t="shared" si="93"/>
        <v>106.82</v>
      </c>
      <c r="DI42" s="90">
        <f t="shared" si="94"/>
        <v>2.4803708090655769</v>
      </c>
      <c r="DJ42" s="91">
        <f t="shared" si="95"/>
        <v>450.36260381976365</v>
      </c>
      <c r="DK42" s="91">
        <f t="shared" si="96"/>
        <v>351805.25159984658</v>
      </c>
      <c r="DL42" s="87">
        <f t="shared" si="97"/>
        <v>3518052515.998466</v>
      </c>
      <c r="DM42" s="90">
        <f t="shared" si="98"/>
        <v>3.5180525159984661</v>
      </c>
      <c r="DN42" s="87">
        <f t="shared" si="99"/>
        <v>0.5</v>
      </c>
      <c r="DO42" s="87">
        <f t="shared" si="100"/>
        <v>11.74</v>
      </c>
      <c r="DP42" s="87">
        <f t="shared" si="101"/>
        <v>0.33600000000000002</v>
      </c>
      <c r="DQ42" s="90">
        <f t="shared" si="102"/>
        <v>1.0233355797042001</v>
      </c>
      <c r="DR42" s="91">
        <f t="shared" si="103"/>
        <v>0</v>
      </c>
      <c r="DS42" s="91">
        <f t="shared" si="104"/>
        <v>0</v>
      </c>
      <c r="DT42" s="91">
        <f t="shared" si="105"/>
        <v>15.228208031312501</v>
      </c>
      <c r="DU42" s="91">
        <f t="shared" si="106"/>
        <v>45.684624093937501</v>
      </c>
      <c r="DV42" s="87">
        <f t="shared" si="107"/>
        <v>0</v>
      </c>
      <c r="DW42" s="87">
        <f t="shared" si="108"/>
        <v>0</v>
      </c>
      <c r="DX42" s="92">
        <f t="shared" si="109"/>
        <v>6</v>
      </c>
      <c r="DY42" s="87">
        <f t="shared" si="110"/>
        <v>106.82</v>
      </c>
      <c r="DZ42" s="87">
        <f t="shared" si="111"/>
        <v>669.67405634539386</v>
      </c>
      <c r="EA42" s="87">
        <f t="shared" si="112"/>
        <v>0</v>
      </c>
      <c r="EB42" s="87">
        <f t="shared" si="113"/>
        <v>1.0681999999999999E-2</v>
      </c>
      <c r="EC42" s="92">
        <f t="shared" si="114"/>
        <v>3.7579836975895613E-2</v>
      </c>
      <c r="ED42" s="87">
        <f t="shared" si="115"/>
        <v>37579.836975895611</v>
      </c>
      <c r="EE42" s="91">
        <f t="shared" si="116"/>
        <v>36.722887116617443</v>
      </c>
      <c r="EF42" s="93">
        <f t="shared" si="117"/>
        <v>126.68364279630835</v>
      </c>
      <c r="EG42" s="93">
        <f t="shared" si="118"/>
        <v>380.050928388925</v>
      </c>
      <c r="EH42" s="91">
        <f t="shared" si="119"/>
        <v>5.0892748776088839</v>
      </c>
      <c r="EI42" s="91">
        <f t="shared" si="120"/>
        <v>9.7744896125909073E-2</v>
      </c>
      <c r="EJ42" s="91">
        <f t="shared" si="121"/>
        <v>0</v>
      </c>
      <c r="EK42" s="91">
        <f t="shared" si="122"/>
        <v>42.646737968687503</v>
      </c>
      <c r="EL42" s="91">
        <f t="shared" si="123"/>
        <v>12.190321906062501</v>
      </c>
    </row>
    <row r="43" spans="1:142" x14ac:dyDescent="0.4">
      <c r="A43" s="21">
        <v>104</v>
      </c>
      <c r="B43" s="21" t="s">
        <v>94</v>
      </c>
      <c r="C43" s="21">
        <v>58.627426</v>
      </c>
      <c r="D43" s="21">
        <v>620281.69999999995</v>
      </c>
      <c r="E43" s="21">
        <v>6082270.7000000002</v>
      </c>
      <c r="F43" s="21">
        <v>800.9</v>
      </c>
      <c r="G43" s="21">
        <v>8</v>
      </c>
      <c r="H43" s="21">
        <v>0</v>
      </c>
      <c r="I43" s="21">
        <v>22.14</v>
      </c>
      <c r="J43" s="21">
        <v>0</v>
      </c>
      <c r="K43" s="21">
        <v>100</v>
      </c>
      <c r="L43" s="21">
        <v>3.8</v>
      </c>
      <c r="M43" s="21">
        <v>100</v>
      </c>
      <c r="N43" s="21">
        <v>1</v>
      </c>
      <c r="O43" s="35">
        <v>7</v>
      </c>
      <c r="P43" s="21">
        <v>90</v>
      </c>
      <c r="Q43" s="4">
        <v>781.16</v>
      </c>
      <c r="R43" s="4">
        <v>30.899999619999999</v>
      </c>
      <c r="S43" s="89">
        <f t="shared" si="0"/>
        <v>21.033000000000001</v>
      </c>
      <c r="T43" s="90">
        <f t="shared" si="1"/>
        <v>2.2523775068692409</v>
      </c>
      <c r="U43" s="91">
        <f t="shared" si="2"/>
        <v>431.053851056756</v>
      </c>
      <c r="V43" s="91">
        <f t="shared" si="3"/>
        <v>336722.02629149548</v>
      </c>
      <c r="W43" s="87">
        <f t="shared" si="4"/>
        <v>3367220262.9149547</v>
      </c>
      <c r="X43" s="90">
        <f t="shared" si="5"/>
        <v>3.3672202629149548</v>
      </c>
      <c r="Y43" s="87">
        <f t="shared" si="6"/>
        <v>0.5</v>
      </c>
      <c r="Z43" s="87">
        <f t="shared" si="7"/>
        <v>11.74</v>
      </c>
      <c r="AA43" s="87">
        <f t="shared" si="8"/>
        <v>0.33600000000000002</v>
      </c>
      <c r="AB43" s="90">
        <f t="shared" si="9"/>
        <v>0.20149613600373001</v>
      </c>
      <c r="AC43" s="91">
        <f t="shared" si="10"/>
        <v>0</v>
      </c>
      <c r="AD43" s="91">
        <f t="shared" si="11"/>
        <v>0</v>
      </c>
      <c r="AE43" s="91">
        <f t="shared" si="12"/>
        <v>2.9984544048174104</v>
      </c>
      <c r="AF43" s="91">
        <f t="shared" si="13"/>
        <v>8.9953632144522313</v>
      </c>
      <c r="AG43" s="87">
        <f t="shared" si="14"/>
        <v>0</v>
      </c>
      <c r="AH43" s="87">
        <f t="shared" si="15"/>
        <v>1</v>
      </c>
      <c r="AI43" s="92">
        <f t="shared" si="16"/>
        <v>7</v>
      </c>
      <c r="AJ43" s="87">
        <f t="shared" si="17"/>
        <v>21.033000000000001</v>
      </c>
      <c r="AK43" s="87">
        <f t="shared" si="18"/>
        <v>574.38563336875552</v>
      </c>
      <c r="AL43" s="87">
        <f t="shared" si="19"/>
        <v>0</v>
      </c>
      <c r="AM43" s="87">
        <f t="shared" si="20"/>
        <v>2.1033000000000002E-3</v>
      </c>
      <c r="AN43" s="92">
        <f t="shared" si="21"/>
        <v>7.0822743789890254E-3</v>
      </c>
      <c r="AO43" s="87">
        <f t="shared" si="22"/>
        <v>7082.2743789890246</v>
      </c>
      <c r="AP43" s="91">
        <f t="shared" si="23"/>
        <v>35.14843767950925</v>
      </c>
      <c r="AQ43" s="93">
        <f t="shared" si="24"/>
        <v>651.7516258354899</v>
      </c>
      <c r="AR43" s="93">
        <f t="shared" si="25"/>
        <v>1955.2548775064697</v>
      </c>
      <c r="AS43" s="91">
        <f t="shared" si="26"/>
        <v>1.3498724222898531E-3</v>
      </c>
      <c r="AT43" s="91">
        <f t="shared" si="27"/>
        <v>1.9909764501418983E-12</v>
      </c>
      <c r="AU43" s="91">
        <f t="shared" si="28"/>
        <v>0</v>
      </c>
      <c r="AV43" s="91">
        <f t="shared" si="29"/>
        <v>55.628971595182591</v>
      </c>
      <c r="AW43" s="91">
        <f t="shared" si="30"/>
        <v>49.632062785547767</v>
      </c>
      <c r="AX43" s="95">
        <f t="shared" si="31"/>
        <v>42.066000000000003</v>
      </c>
      <c r="AY43" s="90">
        <f t="shared" si="32"/>
        <v>2.2523775068692409</v>
      </c>
      <c r="AZ43" s="91">
        <f t="shared" si="33"/>
        <v>431.053851056756</v>
      </c>
      <c r="BA43" s="91">
        <f t="shared" si="34"/>
        <v>336722.02629149548</v>
      </c>
      <c r="BB43" s="87">
        <f t="shared" si="35"/>
        <v>3367220262.9149547</v>
      </c>
      <c r="BC43" s="90">
        <f t="shared" si="36"/>
        <v>3.3672202629149548</v>
      </c>
      <c r="BD43" s="87">
        <f t="shared" si="37"/>
        <v>0.5</v>
      </c>
      <c r="BE43" s="87">
        <f t="shared" si="38"/>
        <v>11.74</v>
      </c>
      <c r="BF43" s="87">
        <f t="shared" si="39"/>
        <v>0.33600000000000002</v>
      </c>
      <c r="BG43" s="90">
        <f t="shared" si="40"/>
        <v>0.40299227200746002</v>
      </c>
      <c r="BH43" s="91">
        <f t="shared" si="41"/>
        <v>0</v>
      </c>
      <c r="BI43" s="91">
        <f t="shared" si="42"/>
        <v>0</v>
      </c>
      <c r="BJ43" s="91">
        <f t="shared" si="43"/>
        <v>5.9969088096348209</v>
      </c>
      <c r="BK43" s="91">
        <f t="shared" si="44"/>
        <v>17.990726428904463</v>
      </c>
      <c r="BL43" s="87">
        <f t="shared" si="45"/>
        <v>0</v>
      </c>
      <c r="BM43" s="87">
        <f t="shared" si="46"/>
        <v>1</v>
      </c>
      <c r="BN43" s="92">
        <f t="shared" si="47"/>
        <v>7</v>
      </c>
      <c r="BO43" s="87">
        <f t="shared" si="48"/>
        <v>42.066000000000003</v>
      </c>
      <c r="BP43" s="87">
        <f t="shared" si="49"/>
        <v>574.38563336875552</v>
      </c>
      <c r="BQ43" s="87">
        <f t="shared" si="50"/>
        <v>0</v>
      </c>
      <c r="BR43" s="87">
        <f t="shared" si="51"/>
        <v>4.2066000000000004E-3</v>
      </c>
      <c r="BS43" s="92">
        <f t="shared" si="52"/>
        <v>1.4164548757978051E-2</v>
      </c>
      <c r="BT43" s="87">
        <f t="shared" si="53"/>
        <v>14164.548757978049</v>
      </c>
      <c r="BU43" s="91">
        <f t="shared" si="54"/>
        <v>35.14843767950925</v>
      </c>
      <c r="BV43" s="93">
        <f t="shared" si="55"/>
        <v>325.87581291774495</v>
      </c>
      <c r="BW43" s="93">
        <f t="shared" si="56"/>
        <v>977.62743875323486</v>
      </c>
      <c r="BX43" s="91">
        <f t="shared" si="57"/>
        <v>0.21782081330796443</v>
      </c>
      <c r="BY43" s="91">
        <f t="shared" si="58"/>
        <v>8.3653877184015251E-6</v>
      </c>
      <c r="BZ43" s="91">
        <f t="shared" si="59"/>
        <v>0</v>
      </c>
      <c r="CA43" s="91">
        <f t="shared" si="60"/>
        <v>52.630517190365183</v>
      </c>
      <c r="CB43" s="91">
        <f t="shared" si="61"/>
        <v>40.636699571095534</v>
      </c>
      <c r="CC43" s="95">
        <f t="shared" si="62"/>
        <v>63.099000000000004</v>
      </c>
      <c r="CD43" s="90">
        <f t="shared" si="63"/>
        <v>2.2523775068692409</v>
      </c>
      <c r="CE43" s="91">
        <f t="shared" si="64"/>
        <v>431.053851056756</v>
      </c>
      <c r="CF43" s="91">
        <f t="shared" si="65"/>
        <v>336722.02629149548</v>
      </c>
      <c r="CG43" s="87">
        <f t="shared" si="66"/>
        <v>3367220262.9149547</v>
      </c>
      <c r="CH43" s="90">
        <f t="shared" si="67"/>
        <v>3.3672202629149548</v>
      </c>
      <c r="CI43" s="87">
        <f t="shared" si="68"/>
        <v>0.5</v>
      </c>
      <c r="CJ43" s="87">
        <f t="shared" si="69"/>
        <v>11.74</v>
      </c>
      <c r="CK43" s="87">
        <f t="shared" si="70"/>
        <v>0.33600000000000002</v>
      </c>
      <c r="CL43" s="90">
        <f t="shared" si="71"/>
        <v>0.60448840801118997</v>
      </c>
      <c r="CM43" s="91">
        <f t="shared" si="72"/>
        <v>0</v>
      </c>
      <c r="CN43" s="91">
        <f t="shared" si="73"/>
        <v>0</v>
      </c>
      <c r="CO43" s="91">
        <f t="shared" si="74"/>
        <v>8.9953632144522313</v>
      </c>
      <c r="CP43" s="91">
        <f t="shared" si="75"/>
        <v>26.986089643356692</v>
      </c>
      <c r="CQ43" s="87">
        <f t="shared" si="76"/>
        <v>0</v>
      </c>
      <c r="CR43" s="87">
        <f t="shared" si="77"/>
        <v>1</v>
      </c>
      <c r="CS43" s="92">
        <f t="shared" si="78"/>
        <v>7</v>
      </c>
      <c r="CT43" s="87">
        <f t="shared" si="79"/>
        <v>63.099000000000004</v>
      </c>
      <c r="CU43" s="87">
        <f t="shared" si="80"/>
        <v>574.38563336875552</v>
      </c>
      <c r="CV43" s="87">
        <f t="shared" si="81"/>
        <v>0</v>
      </c>
      <c r="CW43" s="87">
        <f t="shared" si="82"/>
        <v>6.3099000000000002E-3</v>
      </c>
      <c r="CX43" s="92">
        <f t="shared" si="83"/>
        <v>2.1246823136967075E-2</v>
      </c>
      <c r="CY43" s="87">
        <f t="shared" si="84"/>
        <v>21246.823136967072</v>
      </c>
      <c r="CZ43" s="91">
        <f t="shared" si="85"/>
        <v>35.14843767950925</v>
      </c>
      <c r="DA43" s="93">
        <f t="shared" si="86"/>
        <v>217.25054194516332</v>
      </c>
      <c r="DB43" s="93">
        <f t="shared" si="87"/>
        <v>651.7516258354899</v>
      </c>
      <c r="DC43" s="91">
        <f t="shared" si="88"/>
        <v>1.1858641101044716</v>
      </c>
      <c r="DD43" s="91">
        <f t="shared" si="89"/>
        <v>1.3498724222898531E-3</v>
      </c>
      <c r="DE43" s="91">
        <f t="shared" si="90"/>
        <v>0</v>
      </c>
      <c r="DF43" s="91">
        <f t="shared" si="91"/>
        <v>49.632062785547767</v>
      </c>
      <c r="DG43" s="91">
        <f t="shared" si="92"/>
        <v>31.641336356643308</v>
      </c>
      <c r="DH43" s="95">
        <f t="shared" si="93"/>
        <v>84.132000000000005</v>
      </c>
      <c r="DI43" s="90">
        <f t="shared" si="94"/>
        <v>2.2523775068692409</v>
      </c>
      <c r="DJ43" s="91">
        <f t="shared" si="95"/>
        <v>431.053851056756</v>
      </c>
      <c r="DK43" s="91">
        <f t="shared" si="96"/>
        <v>336722.02629149548</v>
      </c>
      <c r="DL43" s="87">
        <f t="shared" si="97"/>
        <v>3367220262.9149547</v>
      </c>
      <c r="DM43" s="90">
        <f t="shared" si="98"/>
        <v>3.3672202629149548</v>
      </c>
      <c r="DN43" s="87">
        <f t="shared" si="99"/>
        <v>0.5</v>
      </c>
      <c r="DO43" s="87">
        <f t="shared" si="100"/>
        <v>11.74</v>
      </c>
      <c r="DP43" s="87">
        <f t="shared" si="101"/>
        <v>0.33600000000000002</v>
      </c>
      <c r="DQ43" s="90">
        <f t="shared" si="102"/>
        <v>0.80598454401492003</v>
      </c>
      <c r="DR43" s="91">
        <f t="shared" si="103"/>
        <v>0</v>
      </c>
      <c r="DS43" s="91">
        <f t="shared" si="104"/>
        <v>0</v>
      </c>
      <c r="DT43" s="91">
        <f t="shared" si="105"/>
        <v>11.993817619269642</v>
      </c>
      <c r="DU43" s="91">
        <f t="shared" si="106"/>
        <v>35.981452857808925</v>
      </c>
      <c r="DV43" s="87">
        <f t="shared" si="107"/>
        <v>0</v>
      </c>
      <c r="DW43" s="87">
        <f t="shared" si="108"/>
        <v>1</v>
      </c>
      <c r="DX43" s="92">
        <f t="shared" si="109"/>
        <v>7</v>
      </c>
      <c r="DY43" s="87">
        <f t="shared" si="110"/>
        <v>84.132000000000005</v>
      </c>
      <c r="DZ43" s="87">
        <f t="shared" si="111"/>
        <v>574.38563336875552</v>
      </c>
      <c r="EA43" s="87">
        <f t="shared" si="112"/>
        <v>0</v>
      </c>
      <c r="EB43" s="87">
        <f t="shared" si="113"/>
        <v>8.4132000000000009E-3</v>
      </c>
      <c r="EC43" s="92">
        <f t="shared" si="114"/>
        <v>2.8329097515956102E-2</v>
      </c>
      <c r="ED43" s="87">
        <f t="shared" si="115"/>
        <v>28329.097515956099</v>
      </c>
      <c r="EE43" s="91">
        <f t="shared" si="116"/>
        <v>35.14843767950925</v>
      </c>
      <c r="EF43" s="93">
        <f t="shared" si="117"/>
        <v>162.93790645887248</v>
      </c>
      <c r="EG43" s="93">
        <f t="shared" si="118"/>
        <v>488.81371937661743</v>
      </c>
      <c r="EH43" s="91">
        <f t="shared" si="119"/>
        <v>2.7669588507701022</v>
      </c>
      <c r="EI43" s="91">
        <f t="shared" si="120"/>
        <v>1.7147312001744415E-2</v>
      </c>
      <c r="EJ43" s="91">
        <f t="shared" si="121"/>
        <v>0</v>
      </c>
      <c r="EK43" s="91">
        <f t="shared" si="122"/>
        <v>46.633608380730358</v>
      </c>
      <c r="EL43" s="91">
        <f t="shared" si="123"/>
        <v>22.645973142191075</v>
      </c>
    </row>
    <row r="44" spans="1:142" x14ac:dyDescent="0.4">
      <c r="A44" s="21">
        <v>84</v>
      </c>
      <c r="B44" s="21" t="s">
        <v>94</v>
      </c>
      <c r="C44" s="21">
        <v>38.736944999999999</v>
      </c>
      <c r="D44" s="21">
        <v>619946.19999999995</v>
      </c>
      <c r="E44" s="21">
        <v>6081814.2999999998</v>
      </c>
      <c r="F44" s="21">
        <v>802.8</v>
      </c>
      <c r="G44" s="21">
        <v>14</v>
      </c>
      <c r="H44" s="21">
        <v>0</v>
      </c>
      <c r="I44" s="21">
        <v>17.850000000000001</v>
      </c>
      <c r="J44" s="21">
        <v>0</v>
      </c>
      <c r="K44" s="21">
        <v>100</v>
      </c>
      <c r="L44" s="21">
        <v>3.8</v>
      </c>
      <c r="M44" s="21">
        <v>100</v>
      </c>
      <c r="N44" s="21">
        <v>0</v>
      </c>
      <c r="O44" s="35">
        <v>14</v>
      </c>
      <c r="P44" s="21">
        <v>90</v>
      </c>
      <c r="Q44" s="4">
        <v>781.16</v>
      </c>
      <c r="R44" s="4">
        <v>30.899999619999999</v>
      </c>
      <c r="S44" s="89">
        <f t="shared" si="0"/>
        <v>16.9575</v>
      </c>
      <c r="T44" s="90">
        <f t="shared" si="1"/>
        <v>2.9294544238463396</v>
      </c>
      <c r="U44" s="91">
        <f t="shared" si="2"/>
        <v>488.39549515554648</v>
      </c>
      <c r="V44" s="91">
        <f t="shared" si="3"/>
        <v>381515.02499570668</v>
      </c>
      <c r="W44" s="87">
        <f t="shared" si="4"/>
        <v>3815150249.957067</v>
      </c>
      <c r="X44" s="90">
        <f t="shared" si="5"/>
        <v>3.8151502499570671</v>
      </c>
      <c r="Y44" s="87">
        <f t="shared" si="6"/>
        <v>0.5</v>
      </c>
      <c r="Z44" s="87">
        <f t="shared" si="7"/>
        <v>11.74</v>
      </c>
      <c r="AA44" s="87">
        <f t="shared" si="8"/>
        <v>0.33600000000000002</v>
      </c>
      <c r="AB44" s="90">
        <f t="shared" si="9"/>
        <v>0.16245284677807501</v>
      </c>
      <c r="AC44" s="91">
        <f t="shared" si="10"/>
        <v>0</v>
      </c>
      <c r="AD44" s="91">
        <f t="shared" si="11"/>
        <v>0</v>
      </c>
      <c r="AE44" s="91">
        <f t="shared" si="12"/>
        <v>2.4174530770546876</v>
      </c>
      <c r="AF44" s="91">
        <f t="shared" si="13"/>
        <v>7.2523592311640623</v>
      </c>
      <c r="AG44" s="87">
        <f t="shared" si="14"/>
        <v>0</v>
      </c>
      <c r="AH44" s="87">
        <f t="shared" si="15"/>
        <v>0</v>
      </c>
      <c r="AI44" s="92">
        <f t="shared" si="16"/>
        <v>14</v>
      </c>
      <c r="AJ44" s="87">
        <f t="shared" si="17"/>
        <v>16.9575</v>
      </c>
      <c r="AK44" s="87">
        <f t="shared" si="18"/>
        <v>289.34958461071244</v>
      </c>
      <c r="AL44" s="87">
        <f t="shared" si="19"/>
        <v>0</v>
      </c>
      <c r="AM44" s="87">
        <f t="shared" si="20"/>
        <v>1.69575E-3</v>
      </c>
      <c r="AN44" s="92">
        <f t="shared" si="21"/>
        <v>6.4695410363646965E-3</v>
      </c>
      <c r="AO44" s="87">
        <f t="shared" si="22"/>
        <v>6469.541036364697</v>
      </c>
      <c r="AP44" s="91">
        <f t="shared" si="23"/>
        <v>39.824116133850602</v>
      </c>
      <c r="AQ44" s="93">
        <f t="shared" si="24"/>
        <v>534.12887813863028</v>
      </c>
      <c r="AR44" s="93">
        <f t="shared" si="25"/>
        <v>1602.3866344158907</v>
      </c>
      <c r="AS44" s="91">
        <f t="shared" si="26"/>
        <v>9.5813398551079579E-3</v>
      </c>
      <c r="AT44" s="91">
        <f t="shared" si="27"/>
        <v>5.5460840095442407E-10</v>
      </c>
      <c r="AU44" s="91">
        <f t="shared" si="28"/>
        <v>0</v>
      </c>
      <c r="AV44" s="91">
        <f t="shared" si="29"/>
        <v>36.319491922945311</v>
      </c>
      <c r="AW44" s="91">
        <f t="shared" si="30"/>
        <v>31.484585768835935</v>
      </c>
      <c r="AX44" s="95">
        <f t="shared" si="31"/>
        <v>33.914999999999999</v>
      </c>
      <c r="AY44" s="90">
        <f t="shared" si="32"/>
        <v>2.9294544238463396</v>
      </c>
      <c r="AZ44" s="91">
        <f t="shared" si="33"/>
        <v>488.39549515554648</v>
      </c>
      <c r="BA44" s="91">
        <f t="shared" si="34"/>
        <v>381515.02499570668</v>
      </c>
      <c r="BB44" s="87">
        <f t="shared" si="35"/>
        <v>3815150249.957067</v>
      </c>
      <c r="BC44" s="90">
        <f t="shared" si="36"/>
        <v>3.8151502499570671</v>
      </c>
      <c r="BD44" s="87">
        <f t="shared" si="37"/>
        <v>0.5</v>
      </c>
      <c r="BE44" s="87">
        <f t="shared" si="38"/>
        <v>11.74</v>
      </c>
      <c r="BF44" s="87">
        <f t="shared" si="39"/>
        <v>0.33600000000000002</v>
      </c>
      <c r="BG44" s="90">
        <f t="shared" si="40"/>
        <v>0.32490569355615001</v>
      </c>
      <c r="BH44" s="91">
        <f t="shared" si="41"/>
        <v>0</v>
      </c>
      <c r="BI44" s="91">
        <f t="shared" si="42"/>
        <v>0</v>
      </c>
      <c r="BJ44" s="91">
        <f t="shared" si="43"/>
        <v>4.8349061541093752</v>
      </c>
      <c r="BK44" s="91">
        <f t="shared" si="44"/>
        <v>14.504718462328125</v>
      </c>
      <c r="BL44" s="87">
        <f t="shared" si="45"/>
        <v>0</v>
      </c>
      <c r="BM44" s="87">
        <f t="shared" si="46"/>
        <v>0</v>
      </c>
      <c r="BN44" s="92">
        <f t="shared" si="47"/>
        <v>14</v>
      </c>
      <c r="BO44" s="87">
        <f t="shared" si="48"/>
        <v>33.914999999999999</v>
      </c>
      <c r="BP44" s="87">
        <f t="shared" si="49"/>
        <v>289.34958461071244</v>
      </c>
      <c r="BQ44" s="87">
        <f t="shared" si="50"/>
        <v>0</v>
      </c>
      <c r="BR44" s="87">
        <f t="shared" si="51"/>
        <v>3.3915E-3</v>
      </c>
      <c r="BS44" s="92">
        <f t="shared" si="52"/>
        <v>1.2939082072729393E-2</v>
      </c>
      <c r="BT44" s="87">
        <f t="shared" si="53"/>
        <v>12939.082072729394</v>
      </c>
      <c r="BU44" s="91">
        <f t="shared" si="54"/>
        <v>39.824116133850602</v>
      </c>
      <c r="BV44" s="93">
        <f t="shared" si="55"/>
        <v>267.06443906931514</v>
      </c>
      <c r="BW44" s="93">
        <f t="shared" si="56"/>
        <v>801.19331720794537</v>
      </c>
      <c r="BX44" s="91">
        <f t="shared" si="57"/>
        <v>0.61771222353755528</v>
      </c>
      <c r="BY44" s="91">
        <f t="shared" si="58"/>
        <v>1.486162486689062E-4</v>
      </c>
      <c r="BZ44" s="91">
        <f t="shared" si="59"/>
        <v>0</v>
      </c>
      <c r="CA44" s="91">
        <f t="shared" si="60"/>
        <v>33.902038845890623</v>
      </c>
      <c r="CB44" s="91">
        <f t="shared" si="61"/>
        <v>24.232226537671874</v>
      </c>
      <c r="CC44" s="95">
        <f t="shared" si="62"/>
        <v>50.872500000000002</v>
      </c>
      <c r="CD44" s="90">
        <f t="shared" si="63"/>
        <v>2.9294544238463396</v>
      </c>
      <c r="CE44" s="91">
        <f t="shared" si="64"/>
        <v>488.39549515554648</v>
      </c>
      <c r="CF44" s="91">
        <f t="shared" si="65"/>
        <v>381515.02499570668</v>
      </c>
      <c r="CG44" s="87">
        <f t="shared" si="66"/>
        <v>3815150249.957067</v>
      </c>
      <c r="CH44" s="90">
        <f t="shared" si="67"/>
        <v>3.8151502499570671</v>
      </c>
      <c r="CI44" s="87">
        <f t="shared" si="68"/>
        <v>0.5</v>
      </c>
      <c r="CJ44" s="87">
        <f t="shared" si="69"/>
        <v>11.74</v>
      </c>
      <c r="CK44" s="87">
        <f t="shared" si="70"/>
        <v>0.33600000000000002</v>
      </c>
      <c r="CL44" s="90">
        <f t="shared" si="71"/>
        <v>0.48735854033422504</v>
      </c>
      <c r="CM44" s="91">
        <f t="shared" si="72"/>
        <v>0</v>
      </c>
      <c r="CN44" s="91">
        <f t="shared" si="73"/>
        <v>0</v>
      </c>
      <c r="CO44" s="91">
        <f t="shared" si="74"/>
        <v>7.2523592311640632</v>
      </c>
      <c r="CP44" s="91">
        <f t="shared" si="75"/>
        <v>21.757077693492189</v>
      </c>
      <c r="CQ44" s="87">
        <f t="shared" si="76"/>
        <v>0</v>
      </c>
      <c r="CR44" s="87">
        <f t="shared" si="77"/>
        <v>0</v>
      </c>
      <c r="CS44" s="92">
        <f t="shared" si="78"/>
        <v>14</v>
      </c>
      <c r="CT44" s="87">
        <f t="shared" si="79"/>
        <v>50.872500000000002</v>
      </c>
      <c r="CU44" s="87">
        <f t="shared" si="80"/>
        <v>289.34958461071244</v>
      </c>
      <c r="CV44" s="87">
        <f t="shared" si="81"/>
        <v>0</v>
      </c>
      <c r="CW44" s="87">
        <f t="shared" si="82"/>
        <v>5.0872500000000006E-3</v>
      </c>
      <c r="CX44" s="92">
        <f t="shared" si="83"/>
        <v>1.9408623109094091E-2</v>
      </c>
      <c r="CY44" s="87">
        <f t="shared" si="84"/>
        <v>19408.623109094089</v>
      </c>
      <c r="CZ44" s="91">
        <f t="shared" si="85"/>
        <v>39.824116133850602</v>
      </c>
      <c r="DA44" s="93">
        <f t="shared" si="86"/>
        <v>178.04295937954342</v>
      </c>
      <c r="DB44" s="93">
        <f t="shared" si="87"/>
        <v>534.12887813863017</v>
      </c>
      <c r="DC44" s="91">
        <f t="shared" si="88"/>
        <v>2.4768869150729755</v>
      </c>
      <c r="DD44" s="91">
        <f t="shared" si="89"/>
        <v>9.5813398551079752E-3</v>
      </c>
      <c r="DE44" s="91">
        <f t="shared" si="90"/>
        <v>0</v>
      </c>
      <c r="DF44" s="91">
        <f t="shared" si="91"/>
        <v>31.484585768835935</v>
      </c>
      <c r="DG44" s="91">
        <f t="shared" si="92"/>
        <v>16.97986730650781</v>
      </c>
      <c r="DH44" s="95">
        <f t="shared" si="93"/>
        <v>67.83</v>
      </c>
      <c r="DI44" s="90">
        <f t="shared" si="94"/>
        <v>2.9294544238463396</v>
      </c>
      <c r="DJ44" s="91">
        <f t="shared" si="95"/>
        <v>488.39549515554648</v>
      </c>
      <c r="DK44" s="91">
        <f t="shared" si="96"/>
        <v>381515.02499570668</v>
      </c>
      <c r="DL44" s="87">
        <f t="shared" si="97"/>
        <v>3815150249.957067</v>
      </c>
      <c r="DM44" s="90">
        <f t="shared" si="98"/>
        <v>3.8151502499570671</v>
      </c>
      <c r="DN44" s="87">
        <f t="shared" si="99"/>
        <v>0.5</v>
      </c>
      <c r="DO44" s="87">
        <f t="shared" si="100"/>
        <v>11.74</v>
      </c>
      <c r="DP44" s="87">
        <f t="shared" si="101"/>
        <v>0.33600000000000002</v>
      </c>
      <c r="DQ44" s="90">
        <f t="shared" si="102"/>
        <v>0.64981138711230002</v>
      </c>
      <c r="DR44" s="91">
        <f t="shared" si="103"/>
        <v>0</v>
      </c>
      <c r="DS44" s="91">
        <f t="shared" si="104"/>
        <v>0</v>
      </c>
      <c r="DT44" s="91">
        <f t="shared" si="105"/>
        <v>9.6698123082187504</v>
      </c>
      <c r="DU44" s="91">
        <f t="shared" si="106"/>
        <v>29.009436924656249</v>
      </c>
      <c r="DV44" s="87">
        <f t="shared" si="107"/>
        <v>0</v>
      </c>
      <c r="DW44" s="87">
        <f t="shared" si="108"/>
        <v>0</v>
      </c>
      <c r="DX44" s="92">
        <f t="shared" si="109"/>
        <v>14</v>
      </c>
      <c r="DY44" s="87">
        <f t="shared" si="110"/>
        <v>67.83</v>
      </c>
      <c r="DZ44" s="87">
        <f t="shared" si="111"/>
        <v>289.34958461071244</v>
      </c>
      <c r="EA44" s="87">
        <f t="shared" si="112"/>
        <v>0</v>
      </c>
      <c r="EB44" s="87">
        <f t="shared" si="113"/>
        <v>6.783E-3</v>
      </c>
      <c r="EC44" s="92">
        <f t="shared" si="114"/>
        <v>2.5878164145458786E-2</v>
      </c>
      <c r="ED44" s="87">
        <f t="shared" si="115"/>
        <v>25878.164145458788</v>
      </c>
      <c r="EE44" s="91">
        <f t="shared" si="116"/>
        <v>39.824116133850602</v>
      </c>
      <c r="EF44" s="93">
        <f t="shared" si="117"/>
        <v>133.53221953465757</v>
      </c>
      <c r="EG44" s="93">
        <f t="shared" si="118"/>
        <v>400.59665860397268</v>
      </c>
      <c r="EH44" s="91">
        <f t="shared" si="119"/>
        <v>4.9598229129131903</v>
      </c>
      <c r="EI44" s="91">
        <f t="shared" si="120"/>
        <v>7.6931857811752741E-2</v>
      </c>
      <c r="EJ44" s="91">
        <f t="shared" si="121"/>
        <v>0</v>
      </c>
      <c r="EK44" s="91">
        <f t="shared" si="122"/>
        <v>29.067132691781246</v>
      </c>
      <c r="EL44" s="91">
        <f t="shared" si="123"/>
        <v>9.7275080753437493</v>
      </c>
    </row>
    <row r="45" spans="1:142" x14ac:dyDescent="0.4">
      <c r="A45" s="21">
        <v>79</v>
      </c>
      <c r="B45" s="21" t="s">
        <v>94</v>
      </c>
      <c r="C45" s="21">
        <v>81.495073000000005</v>
      </c>
      <c r="D45" s="21">
        <v>619854.4</v>
      </c>
      <c r="E45" s="21">
        <v>6081700.2999999998</v>
      </c>
      <c r="F45" s="21">
        <v>803.6</v>
      </c>
      <c r="G45" s="21">
        <v>23</v>
      </c>
      <c r="H45" s="21">
        <v>0</v>
      </c>
      <c r="I45" s="21">
        <v>7.34</v>
      </c>
      <c r="J45" s="21">
        <v>0</v>
      </c>
      <c r="K45" s="21">
        <v>100</v>
      </c>
      <c r="L45" s="21">
        <v>4.5999999999999996</v>
      </c>
      <c r="M45" s="21">
        <v>100</v>
      </c>
      <c r="N45" s="21">
        <v>0</v>
      </c>
      <c r="O45" s="35">
        <v>30</v>
      </c>
      <c r="P45" s="21">
        <v>90</v>
      </c>
      <c r="Q45" s="4">
        <v>781.16</v>
      </c>
      <c r="R45" s="4">
        <v>30.899999619999999</v>
      </c>
      <c r="S45" s="89">
        <f t="shared" si="0"/>
        <v>8.4409999999999989</v>
      </c>
      <c r="T45" s="90">
        <f t="shared" si="1"/>
        <v>3.787561691319218</v>
      </c>
      <c r="U45" s="91">
        <f t="shared" si="2"/>
        <v>561.0685996378246</v>
      </c>
      <c r="V45" s="91">
        <f t="shared" si="3"/>
        <v>438284.34729308303</v>
      </c>
      <c r="W45" s="87">
        <f t="shared" si="4"/>
        <v>4382843472.93083</v>
      </c>
      <c r="X45" s="90">
        <f t="shared" si="5"/>
        <v>4.3828434729308299</v>
      </c>
      <c r="Y45" s="87">
        <f t="shared" si="6"/>
        <v>0.5</v>
      </c>
      <c r="Z45" s="87">
        <f t="shared" si="7"/>
        <v>11.74</v>
      </c>
      <c r="AA45" s="87">
        <f t="shared" si="8"/>
        <v>0.33600000000000002</v>
      </c>
      <c r="AB45" s="90">
        <f t="shared" si="9"/>
        <v>8.0864778396209994E-2</v>
      </c>
      <c r="AC45" s="91">
        <f t="shared" si="10"/>
        <v>0</v>
      </c>
      <c r="AD45" s="91">
        <f t="shared" si="11"/>
        <v>0</v>
      </c>
      <c r="AE45" s="91">
        <f t="shared" si="12"/>
        <v>1.2033449166102677</v>
      </c>
      <c r="AF45" s="91">
        <f t="shared" si="13"/>
        <v>3.610034749830803</v>
      </c>
      <c r="AG45" s="87">
        <f t="shared" si="14"/>
        <v>0</v>
      </c>
      <c r="AH45" s="87">
        <f t="shared" si="15"/>
        <v>0</v>
      </c>
      <c r="AI45" s="92">
        <f t="shared" si="16"/>
        <v>30</v>
      </c>
      <c r="AJ45" s="87">
        <f t="shared" si="17"/>
        <v>8.4409999999999989</v>
      </c>
      <c r="AK45" s="87">
        <f t="shared" si="18"/>
        <v>140.00000000000003</v>
      </c>
      <c r="AL45" s="87">
        <f t="shared" si="19"/>
        <v>0</v>
      </c>
      <c r="AM45" s="87">
        <f t="shared" si="20"/>
        <v>8.4409999999999986E-4</v>
      </c>
      <c r="AN45" s="92">
        <f t="shared" si="21"/>
        <v>3.6995581755009128E-3</v>
      </c>
      <c r="AO45" s="87">
        <f t="shared" si="22"/>
        <v>3699.5581755009125</v>
      </c>
      <c r="AP45" s="91">
        <f t="shared" si="23"/>
        <v>45.749932775111702</v>
      </c>
      <c r="AQ45" s="93">
        <f t="shared" si="24"/>
        <v>2257.4595162503506</v>
      </c>
      <c r="AR45" s="93">
        <f t="shared" si="25"/>
        <v>6772.3785487510522</v>
      </c>
      <c r="AS45" s="91">
        <f t="shared" si="26"/>
        <v>2.3233571119139886E-14</v>
      </c>
      <c r="AT45" s="91">
        <f t="shared" si="27"/>
        <v>5.9919334911147598E-45</v>
      </c>
      <c r="AU45" s="91">
        <f t="shared" si="28"/>
        <v>0</v>
      </c>
      <c r="AV45" s="91">
        <f t="shared" si="29"/>
        <v>80.291728083389742</v>
      </c>
      <c r="AW45" s="91">
        <f t="shared" si="30"/>
        <v>77.885038250169202</v>
      </c>
      <c r="AX45" s="95">
        <f t="shared" si="31"/>
        <v>16.881999999999998</v>
      </c>
      <c r="AY45" s="90">
        <f t="shared" si="32"/>
        <v>3.787561691319218</v>
      </c>
      <c r="AZ45" s="91">
        <f t="shared" si="33"/>
        <v>561.0685996378246</v>
      </c>
      <c r="BA45" s="91">
        <f t="shared" si="34"/>
        <v>438284.34729308303</v>
      </c>
      <c r="BB45" s="87">
        <f t="shared" si="35"/>
        <v>4382843472.93083</v>
      </c>
      <c r="BC45" s="90">
        <f t="shared" si="36"/>
        <v>4.3828434729308299</v>
      </c>
      <c r="BD45" s="87">
        <f t="shared" si="37"/>
        <v>0.5</v>
      </c>
      <c r="BE45" s="87">
        <f t="shared" si="38"/>
        <v>11.74</v>
      </c>
      <c r="BF45" s="87">
        <f t="shared" si="39"/>
        <v>0.33600000000000002</v>
      </c>
      <c r="BG45" s="90">
        <f t="shared" si="40"/>
        <v>0.16172955679241999</v>
      </c>
      <c r="BH45" s="91">
        <f t="shared" si="41"/>
        <v>0</v>
      </c>
      <c r="BI45" s="91">
        <f t="shared" si="42"/>
        <v>0</v>
      </c>
      <c r="BJ45" s="91">
        <f t="shared" si="43"/>
        <v>2.4066898332205353</v>
      </c>
      <c r="BK45" s="91">
        <f t="shared" si="44"/>
        <v>7.2200694996616059</v>
      </c>
      <c r="BL45" s="87">
        <f t="shared" si="45"/>
        <v>0</v>
      </c>
      <c r="BM45" s="87">
        <f t="shared" si="46"/>
        <v>0</v>
      </c>
      <c r="BN45" s="92">
        <f t="shared" si="47"/>
        <v>30</v>
      </c>
      <c r="BO45" s="87">
        <f t="shared" si="48"/>
        <v>16.881999999999998</v>
      </c>
      <c r="BP45" s="87">
        <f t="shared" si="49"/>
        <v>140.00000000000003</v>
      </c>
      <c r="BQ45" s="87">
        <f t="shared" si="50"/>
        <v>0</v>
      </c>
      <c r="BR45" s="87">
        <f t="shared" si="51"/>
        <v>1.6881999999999997E-3</v>
      </c>
      <c r="BS45" s="92">
        <f t="shared" si="52"/>
        <v>7.3991163510018255E-3</v>
      </c>
      <c r="BT45" s="87">
        <f t="shared" si="53"/>
        <v>7399.116351001825</v>
      </c>
      <c r="BU45" s="91">
        <f t="shared" si="54"/>
        <v>45.749932775111702</v>
      </c>
      <c r="BV45" s="93">
        <f t="shared" si="55"/>
        <v>1128.7297581251753</v>
      </c>
      <c r="BW45" s="93">
        <f t="shared" si="56"/>
        <v>3386.1892743755261</v>
      </c>
      <c r="BX45" s="91">
        <f t="shared" si="57"/>
        <v>1.0309870594854364E-6</v>
      </c>
      <c r="BY45" s="91">
        <f t="shared" si="58"/>
        <v>5.2357478397210901E-22</v>
      </c>
      <c r="BZ45" s="91">
        <f t="shared" si="59"/>
        <v>0</v>
      </c>
      <c r="CA45" s="91">
        <f t="shared" si="60"/>
        <v>79.088383166779465</v>
      </c>
      <c r="CB45" s="91">
        <f t="shared" si="61"/>
        <v>74.2750035003384</v>
      </c>
      <c r="CC45" s="95">
        <f t="shared" si="62"/>
        <v>25.322999999999997</v>
      </c>
      <c r="CD45" s="90">
        <f t="shared" si="63"/>
        <v>3.787561691319218</v>
      </c>
      <c r="CE45" s="91">
        <f t="shared" si="64"/>
        <v>561.0685996378246</v>
      </c>
      <c r="CF45" s="91">
        <f t="shared" si="65"/>
        <v>438284.34729308303</v>
      </c>
      <c r="CG45" s="87">
        <f t="shared" si="66"/>
        <v>4382843472.93083</v>
      </c>
      <c r="CH45" s="90">
        <f t="shared" si="67"/>
        <v>4.3828434729308299</v>
      </c>
      <c r="CI45" s="87">
        <f t="shared" si="68"/>
        <v>0.5</v>
      </c>
      <c r="CJ45" s="87">
        <f t="shared" si="69"/>
        <v>11.74</v>
      </c>
      <c r="CK45" s="87">
        <f t="shared" si="70"/>
        <v>0.33600000000000002</v>
      </c>
      <c r="CL45" s="90">
        <f t="shared" si="71"/>
        <v>0.24259433518862997</v>
      </c>
      <c r="CM45" s="91">
        <f t="shared" si="72"/>
        <v>0</v>
      </c>
      <c r="CN45" s="91">
        <f t="shared" si="73"/>
        <v>0</v>
      </c>
      <c r="CO45" s="91">
        <f t="shared" si="74"/>
        <v>3.610034749830803</v>
      </c>
      <c r="CP45" s="91">
        <f t="shared" si="75"/>
        <v>10.830104249492409</v>
      </c>
      <c r="CQ45" s="87">
        <f t="shared" si="76"/>
        <v>0</v>
      </c>
      <c r="CR45" s="87">
        <f t="shared" si="77"/>
        <v>0</v>
      </c>
      <c r="CS45" s="92">
        <f t="shared" si="78"/>
        <v>30</v>
      </c>
      <c r="CT45" s="87">
        <f t="shared" si="79"/>
        <v>25.322999999999997</v>
      </c>
      <c r="CU45" s="87">
        <f t="shared" si="80"/>
        <v>140.00000000000003</v>
      </c>
      <c r="CV45" s="87">
        <f t="shared" si="81"/>
        <v>0</v>
      </c>
      <c r="CW45" s="87">
        <f t="shared" si="82"/>
        <v>2.5322999999999995E-3</v>
      </c>
      <c r="CX45" s="92">
        <f t="shared" si="83"/>
        <v>1.1098674526502738E-2</v>
      </c>
      <c r="CY45" s="87">
        <f t="shared" si="84"/>
        <v>11098.674526502738</v>
      </c>
      <c r="CZ45" s="91">
        <f t="shared" si="85"/>
        <v>45.749932775111709</v>
      </c>
      <c r="DA45" s="93">
        <f t="shared" si="86"/>
        <v>752.48650541678353</v>
      </c>
      <c r="DB45" s="93">
        <f t="shared" si="87"/>
        <v>2257.4595162503506</v>
      </c>
      <c r="DC45" s="91">
        <f t="shared" si="88"/>
        <v>3.6500512544042634E-4</v>
      </c>
      <c r="DD45" s="91">
        <f t="shared" si="89"/>
        <v>2.3233571119139889E-14</v>
      </c>
      <c r="DE45" s="91">
        <f t="shared" si="90"/>
        <v>0</v>
      </c>
      <c r="DF45" s="91">
        <f t="shared" si="91"/>
        <v>77.885038250169202</v>
      </c>
      <c r="DG45" s="91">
        <f t="shared" si="92"/>
        <v>70.664968750507597</v>
      </c>
      <c r="DH45" s="95">
        <f t="shared" si="93"/>
        <v>33.763999999999996</v>
      </c>
      <c r="DI45" s="90">
        <f t="shared" si="94"/>
        <v>3.787561691319218</v>
      </c>
      <c r="DJ45" s="91">
        <f t="shared" si="95"/>
        <v>561.0685996378246</v>
      </c>
      <c r="DK45" s="91">
        <f t="shared" si="96"/>
        <v>438284.34729308303</v>
      </c>
      <c r="DL45" s="87">
        <f t="shared" si="97"/>
        <v>4382843472.93083</v>
      </c>
      <c r="DM45" s="90">
        <f t="shared" si="98"/>
        <v>4.3828434729308299</v>
      </c>
      <c r="DN45" s="87">
        <f t="shared" si="99"/>
        <v>0.5</v>
      </c>
      <c r="DO45" s="87">
        <f t="shared" si="100"/>
        <v>11.74</v>
      </c>
      <c r="DP45" s="87">
        <f t="shared" si="101"/>
        <v>0.33600000000000002</v>
      </c>
      <c r="DQ45" s="90">
        <f t="shared" si="102"/>
        <v>0.32345911358483997</v>
      </c>
      <c r="DR45" s="91">
        <f t="shared" si="103"/>
        <v>0</v>
      </c>
      <c r="DS45" s="91">
        <f t="shared" si="104"/>
        <v>0</v>
      </c>
      <c r="DT45" s="91">
        <f t="shared" si="105"/>
        <v>4.8133796664410706</v>
      </c>
      <c r="DU45" s="91">
        <f t="shared" si="106"/>
        <v>14.440138999323212</v>
      </c>
      <c r="DV45" s="87">
        <f t="shared" si="107"/>
        <v>0</v>
      </c>
      <c r="DW45" s="87">
        <f t="shared" si="108"/>
        <v>0</v>
      </c>
      <c r="DX45" s="92">
        <f t="shared" si="109"/>
        <v>30</v>
      </c>
      <c r="DY45" s="87">
        <f t="shared" si="110"/>
        <v>33.763999999999996</v>
      </c>
      <c r="DZ45" s="87">
        <f t="shared" si="111"/>
        <v>140.00000000000003</v>
      </c>
      <c r="EA45" s="87">
        <f t="shared" si="112"/>
        <v>0</v>
      </c>
      <c r="EB45" s="87">
        <f t="shared" si="113"/>
        <v>3.3763999999999995E-3</v>
      </c>
      <c r="EC45" s="92">
        <f t="shared" si="114"/>
        <v>1.4798232702003651E-2</v>
      </c>
      <c r="ED45" s="87">
        <f t="shared" si="115"/>
        <v>14798.23270200365</v>
      </c>
      <c r="EE45" s="91">
        <f t="shared" si="116"/>
        <v>45.749932775111702</v>
      </c>
      <c r="EF45" s="93">
        <f t="shared" si="117"/>
        <v>564.36487906258765</v>
      </c>
      <c r="EG45" s="93">
        <f t="shared" si="118"/>
        <v>1693.0946371877631</v>
      </c>
      <c r="EH45" s="91">
        <f t="shared" si="119"/>
        <v>6.867866383635372E-3</v>
      </c>
      <c r="EI45" s="91">
        <f t="shared" si="120"/>
        <v>1.5476921906331253E-10</v>
      </c>
      <c r="EJ45" s="91">
        <f t="shared" si="121"/>
        <v>0</v>
      </c>
      <c r="EK45" s="91">
        <f t="shared" si="122"/>
        <v>76.68169333355894</v>
      </c>
      <c r="EL45" s="91">
        <f t="shared" si="123"/>
        <v>67.054934000676795</v>
      </c>
    </row>
    <row r="46" spans="1:142" x14ac:dyDescent="0.4">
      <c r="A46" s="21">
        <v>88</v>
      </c>
      <c r="B46" s="21" t="s">
        <v>94</v>
      </c>
      <c r="C46" s="21">
        <v>10.406696999999999</v>
      </c>
      <c r="D46" s="21">
        <v>619994.5</v>
      </c>
      <c r="E46" s="21">
        <v>6081893.7000000002</v>
      </c>
      <c r="F46" s="21">
        <v>803.8</v>
      </c>
      <c r="G46" s="21">
        <v>6</v>
      </c>
      <c r="H46" s="21">
        <v>0</v>
      </c>
      <c r="I46" s="21">
        <v>44.47</v>
      </c>
      <c r="J46" s="21">
        <v>0</v>
      </c>
      <c r="K46" s="21">
        <v>100</v>
      </c>
      <c r="L46" s="21">
        <v>3.8</v>
      </c>
      <c r="M46" s="21">
        <v>100</v>
      </c>
      <c r="N46" s="21">
        <v>1</v>
      </c>
      <c r="O46" s="35">
        <v>5</v>
      </c>
      <c r="P46" s="21">
        <v>90</v>
      </c>
      <c r="Q46" s="4">
        <v>781.16</v>
      </c>
      <c r="R46" s="4">
        <v>30.899999619999999</v>
      </c>
      <c r="S46" s="89">
        <f t="shared" si="0"/>
        <v>42.246499999999997</v>
      </c>
      <c r="T46" s="90">
        <f t="shared" si="1"/>
        <v>2.0274507831327977</v>
      </c>
      <c r="U46" s="91">
        <f t="shared" si="2"/>
        <v>412.00480682351662</v>
      </c>
      <c r="V46" s="91">
        <f t="shared" si="3"/>
        <v>321841.67489825824</v>
      </c>
      <c r="W46" s="87">
        <f t="shared" si="4"/>
        <v>3218416748.9825826</v>
      </c>
      <c r="X46" s="90">
        <f t="shared" si="5"/>
        <v>3.2184167489825826</v>
      </c>
      <c r="Y46" s="87">
        <f t="shared" si="6"/>
        <v>0.5</v>
      </c>
      <c r="Z46" s="87">
        <f t="shared" si="7"/>
        <v>11.74</v>
      </c>
      <c r="AA46" s="87">
        <f t="shared" si="8"/>
        <v>0.33600000000000002</v>
      </c>
      <c r="AB46" s="90">
        <f t="shared" si="9"/>
        <v>0.404721461973165</v>
      </c>
      <c r="AC46" s="91">
        <f t="shared" si="10"/>
        <v>0</v>
      </c>
      <c r="AD46" s="91">
        <f t="shared" si="11"/>
        <v>0.17161144917316504</v>
      </c>
      <c r="AE46" s="91">
        <f t="shared" si="12"/>
        <v>6.0226408031720986</v>
      </c>
      <c r="AF46" s="91">
        <f t="shared" si="13"/>
        <v>18.067922409516296</v>
      </c>
      <c r="AG46" s="87">
        <f t="shared" si="14"/>
        <v>0</v>
      </c>
      <c r="AH46" s="87">
        <f t="shared" si="15"/>
        <v>1</v>
      </c>
      <c r="AI46" s="92">
        <f t="shared" si="16"/>
        <v>5</v>
      </c>
      <c r="AJ46" s="87">
        <f t="shared" si="17"/>
        <v>42.246499999999997</v>
      </c>
      <c r="AK46" s="87">
        <f t="shared" si="18"/>
        <v>803.15992719688995</v>
      </c>
      <c r="AL46" s="87">
        <f t="shared" si="19"/>
        <v>0.17161144917316504</v>
      </c>
      <c r="AM46" s="87">
        <f t="shared" si="20"/>
        <v>4.2246499999999999E-3</v>
      </c>
      <c r="AN46" s="92">
        <f t="shared" si="21"/>
        <v>1.3596684318589267E-2</v>
      </c>
      <c r="AO46" s="87">
        <f t="shared" si="22"/>
        <v>13596.684318589267</v>
      </c>
      <c r="AP46" s="91">
        <f t="shared" si="23"/>
        <v>33.595165060682632</v>
      </c>
      <c r="AQ46" s="93">
        <f t="shared" si="24"/>
        <v>57.597640526277871</v>
      </c>
      <c r="AR46" s="93">
        <f t="shared" si="25"/>
        <v>172.79292157883361</v>
      </c>
      <c r="AS46" s="91">
        <f t="shared" si="26"/>
        <v>13.678961114683403</v>
      </c>
      <c r="AT46" s="91">
        <f t="shared" si="27"/>
        <v>2.2678054074079377</v>
      </c>
      <c r="AU46" s="91">
        <f t="shared" si="28"/>
        <v>2.3474663400741917</v>
      </c>
      <c r="AV46" s="91">
        <f t="shared" si="29"/>
        <v>4.3840561968279008</v>
      </c>
      <c r="AW46" s="91">
        <f t="shared" si="30"/>
        <v>0</v>
      </c>
      <c r="AX46" s="95">
        <f t="shared" si="31"/>
        <v>84.492999999999995</v>
      </c>
      <c r="AY46" s="90">
        <f t="shared" si="32"/>
        <v>2.0274507831327977</v>
      </c>
      <c r="AZ46" s="91">
        <f t="shared" si="33"/>
        <v>412.00480682351662</v>
      </c>
      <c r="BA46" s="91">
        <f t="shared" si="34"/>
        <v>321841.67489825824</v>
      </c>
      <c r="BB46" s="87">
        <f t="shared" si="35"/>
        <v>3218416748.9825826</v>
      </c>
      <c r="BC46" s="90">
        <f t="shared" si="36"/>
        <v>3.2184167489825826</v>
      </c>
      <c r="BD46" s="87">
        <f t="shared" si="37"/>
        <v>0.5</v>
      </c>
      <c r="BE46" s="87">
        <f t="shared" si="38"/>
        <v>11.74</v>
      </c>
      <c r="BF46" s="87">
        <f t="shared" si="39"/>
        <v>0.33600000000000002</v>
      </c>
      <c r="BG46" s="90">
        <f t="shared" si="40"/>
        <v>0.80944292394633</v>
      </c>
      <c r="BH46" s="91">
        <f t="shared" si="41"/>
        <v>0.11011288554632992</v>
      </c>
      <c r="BI46" s="91">
        <f t="shared" si="42"/>
        <v>0.57633291114633001</v>
      </c>
      <c r="BJ46" s="91">
        <f t="shared" si="43"/>
        <v>12.045281606344197</v>
      </c>
      <c r="BK46" s="91">
        <f t="shared" si="44"/>
        <v>36.135844819032592</v>
      </c>
      <c r="BL46" s="87">
        <f t="shared" si="45"/>
        <v>0</v>
      </c>
      <c r="BM46" s="87">
        <f t="shared" si="46"/>
        <v>1</v>
      </c>
      <c r="BN46" s="92">
        <f t="shared" si="47"/>
        <v>5</v>
      </c>
      <c r="BO46" s="87">
        <f t="shared" si="48"/>
        <v>84.492999999999995</v>
      </c>
      <c r="BP46" s="87">
        <f t="shared" si="49"/>
        <v>803.15992719688995</v>
      </c>
      <c r="BQ46" s="87">
        <f t="shared" si="50"/>
        <v>0.57633291114633001</v>
      </c>
      <c r="BR46" s="87">
        <f t="shared" si="51"/>
        <v>8.4492999999999999E-3</v>
      </c>
      <c r="BS46" s="92">
        <f t="shared" si="52"/>
        <v>2.7193368637178535E-2</v>
      </c>
      <c r="BT46" s="87">
        <f t="shared" si="53"/>
        <v>27193.368637178533</v>
      </c>
      <c r="BU46" s="91">
        <f t="shared" si="54"/>
        <v>33.595165060682632</v>
      </c>
      <c r="BV46" s="93">
        <f t="shared" si="55"/>
        <v>28.798820263138936</v>
      </c>
      <c r="BW46" s="93">
        <f t="shared" si="56"/>
        <v>86.396460789416807</v>
      </c>
      <c r="BX46" s="91">
        <f t="shared" si="57"/>
        <v>21.437046356866613</v>
      </c>
      <c r="BY46" s="91">
        <f t="shared" si="58"/>
        <v>8.7285334958043368</v>
      </c>
      <c r="BZ46" s="91">
        <f t="shared" si="59"/>
        <v>12.354875333231764</v>
      </c>
      <c r="CA46" s="91">
        <f t="shared" si="60"/>
        <v>0</v>
      </c>
      <c r="CB46" s="91">
        <f t="shared" si="61"/>
        <v>0</v>
      </c>
      <c r="CC46" s="95">
        <f t="shared" si="62"/>
        <v>126.73949999999999</v>
      </c>
      <c r="CD46" s="90">
        <f t="shared" si="63"/>
        <v>2.0274507831327977</v>
      </c>
      <c r="CE46" s="91">
        <f t="shared" si="64"/>
        <v>412.00480682351662</v>
      </c>
      <c r="CF46" s="91">
        <f t="shared" si="65"/>
        <v>321841.67489825824</v>
      </c>
      <c r="CG46" s="87">
        <f t="shared" si="66"/>
        <v>3218416748.9825826</v>
      </c>
      <c r="CH46" s="90">
        <f t="shared" si="67"/>
        <v>3.2184167489825826</v>
      </c>
      <c r="CI46" s="87">
        <f t="shared" si="68"/>
        <v>0.5</v>
      </c>
      <c r="CJ46" s="87">
        <f t="shared" si="69"/>
        <v>11.74</v>
      </c>
      <c r="CK46" s="87">
        <f t="shared" si="70"/>
        <v>0.33600000000000002</v>
      </c>
      <c r="CL46" s="90">
        <f t="shared" si="71"/>
        <v>1.2141643859194948</v>
      </c>
      <c r="CM46" s="91">
        <f t="shared" si="72"/>
        <v>0.51483434751949475</v>
      </c>
      <c r="CN46" s="91">
        <f t="shared" si="73"/>
        <v>0.98105437311949484</v>
      </c>
      <c r="CO46" s="91">
        <f t="shared" si="74"/>
        <v>18.067922409516292</v>
      </c>
      <c r="CP46" s="91">
        <f t="shared" si="75"/>
        <v>54.203767228548877</v>
      </c>
      <c r="CQ46" s="87">
        <f t="shared" si="76"/>
        <v>0</v>
      </c>
      <c r="CR46" s="87">
        <f t="shared" si="77"/>
        <v>1</v>
      </c>
      <c r="CS46" s="92">
        <f t="shared" si="78"/>
        <v>5</v>
      </c>
      <c r="CT46" s="87">
        <f t="shared" si="79"/>
        <v>126.73949999999999</v>
      </c>
      <c r="CU46" s="87">
        <f t="shared" si="80"/>
        <v>803.15992719688995</v>
      </c>
      <c r="CV46" s="87">
        <f t="shared" si="81"/>
        <v>0.98105437311949484</v>
      </c>
      <c r="CW46" s="87">
        <f t="shared" si="82"/>
        <v>1.267395E-2</v>
      </c>
      <c r="CX46" s="92">
        <f t="shared" si="83"/>
        <v>4.0790052955767798E-2</v>
      </c>
      <c r="CY46" s="87">
        <f t="shared" si="84"/>
        <v>40790.052955767802</v>
      </c>
      <c r="CZ46" s="91">
        <f t="shared" si="85"/>
        <v>33.595165060682639</v>
      </c>
      <c r="DA46" s="93">
        <f t="shared" si="86"/>
        <v>19.199213508759293</v>
      </c>
      <c r="DB46" s="93">
        <f t="shared" si="87"/>
        <v>57.597640526277885</v>
      </c>
      <c r="DC46" s="91">
        <f t="shared" si="88"/>
        <v>24.900164973110879</v>
      </c>
      <c r="DD46" s="91">
        <f t="shared" si="89"/>
        <v>13.678961114683403</v>
      </c>
      <c r="DE46" s="91">
        <f t="shared" si="90"/>
        <v>24.428415738267297</v>
      </c>
      <c r="DF46" s="91">
        <f t="shared" si="91"/>
        <v>0</v>
      </c>
      <c r="DG46" s="91">
        <f t="shared" si="92"/>
        <v>0</v>
      </c>
      <c r="DH46" s="95">
        <f t="shared" si="93"/>
        <v>168.98599999999999</v>
      </c>
      <c r="DI46" s="90">
        <f t="shared" si="94"/>
        <v>2.0274507831327977</v>
      </c>
      <c r="DJ46" s="91">
        <f t="shared" si="95"/>
        <v>412.00480682351662</v>
      </c>
      <c r="DK46" s="91">
        <f t="shared" si="96"/>
        <v>321841.67489825824</v>
      </c>
      <c r="DL46" s="87">
        <f t="shared" si="97"/>
        <v>3218416748.9825826</v>
      </c>
      <c r="DM46" s="90">
        <f t="shared" si="98"/>
        <v>3.2184167489825826</v>
      </c>
      <c r="DN46" s="87">
        <f t="shared" si="99"/>
        <v>0.5</v>
      </c>
      <c r="DO46" s="87">
        <f t="shared" si="100"/>
        <v>11.74</v>
      </c>
      <c r="DP46" s="87">
        <f t="shared" si="101"/>
        <v>0.33600000000000002</v>
      </c>
      <c r="DQ46" s="90">
        <f t="shared" si="102"/>
        <v>1.61888584789266</v>
      </c>
      <c r="DR46" s="91">
        <f t="shared" si="103"/>
        <v>0.91955580949265991</v>
      </c>
      <c r="DS46" s="91">
        <f t="shared" si="104"/>
        <v>1.3857758350926601</v>
      </c>
      <c r="DT46" s="91">
        <f t="shared" si="105"/>
        <v>24.090563212688394</v>
      </c>
      <c r="DU46" s="91">
        <f t="shared" si="106"/>
        <v>72.271689638065183</v>
      </c>
      <c r="DV46" s="87">
        <f t="shared" si="107"/>
        <v>0</v>
      </c>
      <c r="DW46" s="87">
        <f t="shared" si="108"/>
        <v>1</v>
      </c>
      <c r="DX46" s="92">
        <f t="shared" si="109"/>
        <v>5</v>
      </c>
      <c r="DY46" s="87">
        <f t="shared" si="110"/>
        <v>168.98599999999999</v>
      </c>
      <c r="DZ46" s="87">
        <f t="shared" si="111"/>
        <v>803.15992719688995</v>
      </c>
      <c r="EA46" s="87">
        <f t="shared" si="112"/>
        <v>1.3857758350926601</v>
      </c>
      <c r="EB46" s="87">
        <f t="shared" si="113"/>
        <v>1.68986E-2</v>
      </c>
      <c r="EC46" s="92">
        <f t="shared" si="114"/>
        <v>5.4386737274357069E-2</v>
      </c>
      <c r="ED46" s="87">
        <f t="shared" si="115"/>
        <v>54386.737274357067</v>
      </c>
      <c r="EE46" s="91">
        <f t="shared" si="116"/>
        <v>33.595165060682632</v>
      </c>
      <c r="EF46" s="93">
        <f t="shared" si="117"/>
        <v>14.399410131569468</v>
      </c>
      <c r="EG46" s="93">
        <f t="shared" si="118"/>
        <v>43.198230394708403</v>
      </c>
      <c r="EH46" s="91">
        <f t="shared" si="119"/>
        <v>26.836190317786151</v>
      </c>
      <c r="EI46" s="91">
        <f t="shared" si="120"/>
        <v>17.124150300941764</v>
      </c>
      <c r="EJ46" s="91">
        <f t="shared" si="121"/>
        <v>37.188944048335664</v>
      </c>
      <c r="EK46" s="91">
        <f t="shared" si="122"/>
        <v>0</v>
      </c>
      <c r="EL46" s="91">
        <f t="shared" si="123"/>
        <v>0</v>
      </c>
    </row>
    <row r="47" spans="1:142" x14ac:dyDescent="0.4">
      <c r="A47" s="21">
        <v>103</v>
      </c>
      <c r="B47" s="21" t="s">
        <v>94</v>
      </c>
      <c r="C47" s="21">
        <v>77.504437999999993</v>
      </c>
      <c r="D47" s="21">
        <v>620275</v>
      </c>
      <c r="E47" s="21">
        <v>6082249.5999999996</v>
      </c>
      <c r="F47" s="21">
        <v>804.2</v>
      </c>
      <c r="G47" s="21">
        <v>14</v>
      </c>
      <c r="H47" s="21">
        <v>0</v>
      </c>
      <c r="I47" s="21">
        <v>22.57</v>
      </c>
      <c r="J47" s="21">
        <v>0</v>
      </c>
      <c r="K47" s="21">
        <v>100</v>
      </c>
      <c r="L47" s="21">
        <v>4.4000000000000004</v>
      </c>
      <c r="M47" s="21">
        <v>100</v>
      </c>
      <c r="N47" s="21">
        <v>1</v>
      </c>
      <c r="O47" s="35">
        <v>7</v>
      </c>
      <c r="P47" s="21">
        <v>90</v>
      </c>
      <c r="Q47" s="4">
        <v>781.16</v>
      </c>
      <c r="R47" s="4">
        <v>30.899999619999999</v>
      </c>
      <c r="S47" s="89">
        <f t="shared" si="0"/>
        <v>24.827000000000002</v>
      </c>
      <c r="T47" s="90">
        <f t="shared" si="1"/>
        <v>2.9294544238463396</v>
      </c>
      <c r="U47" s="91">
        <f t="shared" si="2"/>
        <v>488.39549515554648</v>
      </c>
      <c r="V47" s="91">
        <f t="shared" si="3"/>
        <v>381515.02499570668</v>
      </c>
      <c r="W47" s="87">
        <f t="shared" si="4"/>
        <v>3815150249.957067</v>
      </c>
      <c r="X47" s="90">
        <f t="shared" si="5"/>
        <v>3.8151502499570671</v>
      </c>
      <c r="Y47" s="87">
        <f t="shared" si="6"/>
        <v>0.5</v>
      </c>
      <c r="Z47" s="87">
        <f t="shared" si="7"/>
        <v>11.74</v>
      </c>
      <c r="AA47" s="87">
        <f t="shared" si="8"/>
        <v>0.33600000000000002</v>
      </c>
      <c r="AB47" s="90">
        <f t="shared" si="9"/>
        <v>0.23784265528287002</v>
      </c>
      <c r="AC47" s="91">
        <f t="shared" si="10"/>
        <v>0</v>
      </c>
      <c r="AD47" s="91">
        <f t="shared" si="11"/>
        <v>0</v>
      </c>
      <c r="AE47" s="91">
        <f t="shared" si="12"/>
        <v>3.5393252274236611</v>
      </c>
      <c r="AF47" s="91">
        <f t="shared" si="13"/>
        <v>10.617975682270984</v>
      </c>
      <c r="AG47" s="87">
        <f t="shared" si="14"/>
        <v>0</v>
      </c>
      <c r="AH47" s="87">
        <f t="shared" si="15"/>
        <v>1</v>
      </c>
      <c r="AI47" s="92">
        <f t="shared" si="16"/>
        <v>7</v>
      </c>
      <c r="AJ47" s="87">
        <f t="shared" si="17"/>
        <v>24.827000000000002</v>
      </c>
      <c r="AK47" s="87">
        <f t="shared" si="18"/>
        <v>574.38563336875552</v>
      </c>
      <c r="AL47" s="87">
        <f t="shared" si="19"/>
        <v>0</v>
      </c>
      <c r="AM47" s="87">
        <f t="shared" si="20"/>
        <v>2.4827E-3</v>
      </c>
      <c r="AN47" s="92">
        <f t="shared" si="21"/>
        <v>9.4718735255684104E-3</v>
      </c>
      <c r="AO47" s="87">
        <f t="shared" si="22"/>
        <v>9471.8735255684114</v>
      </c>
      <c r="AP47" s="91">
        <f t="shared" si="23"/>
        <v>39.824116133850602</v>
      </c>
      <c r="AQ47" s="93">
        <f t="shared" si="24"/>
        <v>729.93610382260044</v>
      </c>
      <c r="AR47" s="93">
        <f t="shared" si="25"/>
        <v>2189.8083114678011</v>
      </c>
      <c r="AS47" s="91">
        <f t="shared" si="26"/>
        <v>4.5168272617930833E-4</v>
      </c>
      <c r="AT47" s="91">
        <f t="shared" si="27"/>
        <v>5.8104284100641295E-14</v>
      </c>
      <c r="AU47" s="91">
        <f t="shared" si="28"/>
        <v>0</v>
      </c>
      <c r="AV47" s="91">
        <f t="shared" si="29"/>
        <v>73.965112772576333</v>
      </c>
      <c r="AW47" s="91">
        <f t="shared" si="30"/>
        <v>66.886462317729013</v>
      </c>
      <c r="AX47" s="95">
        <f t="shared" si="31"/>
        <v>49.654000000000003</v>
      </c>
      <c r="AY47" s="90">
        <f t="shared" si="32"/>
        <v>2.9294544238463396</v>
      </c>
      <c r="AZ47" s="91">
        <f t="shared" si="33"/>
        <v>488.39549515554648</v>
      </c>
      <c r="BA47" s="91">
        <f t="shared" si="34"/>
        <v>381515.02499570668</v>
      </c>
      <c r="BB47" s="87">
        <f t="shared" si="35"/>
        <v>3815150249.957067</v>
      </c>
      <c r="BC47" s="90">
        <f t="shared" si="36"/>
        <v>3.8151502499570671</v>
      </c>
      <c r="BD47" s="87">
        <f t="shared" si="37"/>
        <v>0.5</v>
      </c>
      <c r="BE47" s="87">
        <f t="shared" si="38"/>
        <v>11.74</v>
      </c>
      <c r="BF47" s="87">
        <f t="shared" si="39"/>
        <v>0.33600000000000002</v>
      </c>
      <c r="BG47" s="90">
        <f t="shared" si="40"/>
        <v>0.47568531056574004</v>
      </c>
      <c r="BH47" s="91">
        <f t="shared" si="41"/>
        <v>0</v>
      </c>
      <c r="BI47" s="91">
        <f t="shared" si="42"/>
        <v>0</v>
      </c>
      <c r="BJ47" s="91">
        <f t="shared" si="43"/>
        <v>7.0786504548473221</v>
      </c>
      <c r="BK47" s="91">
        <f t="shared" si="44"/>
        <v>21.235951364541968</v>
      </c>
      <c r="BL47" s="87">
        <f t="shared" si="45"/>
        <v>0</v>
      </c>
      <c r="BM47" s="87">
        <f t="shared" si="46"/>
        <v>1</v>
      </c>
      <c r="BN47" s="92">
        <f t="shared" si="47"/>
        <v>7</v>
      </c>
      <c r="BO47" s="87">
        <f t="shared" si="48"/>
        <v>49.654000000000003</v>
      </c>
      <c r="BP47" s="87">
        <f t="shared" si="49"/>
        <v>574.38563336875552</v>
      </c>
      <c r="BQ47" s="87">
        <f t="shared" si="50"/>
        <v>0</v>
      </c>
      <c r="BR47" s="87">
        <f t="shared" si="51"/>
        <v>4.9654E-3</v>
      </c>
      <c r="BS47" s="92">
        <f t="shared" si="52"/>
        <v>1.8943747051136821E-2</v>
      </c>
      <c r="BT47" s="87">
        <f t="shared" si="53"/>
        <v>18943.747051136823</v>
      </c>
      <c r="BU47" s="91">
        <f t="shared" si="54"/>
        <v>39.824116133850602</v>
      </c>
      <c r="BV47" s="93">
        <f t="shared" si="55"/>
        <v>364.96805191130022</v>
      </c>
      <c r="BW47" s="93">
        <f t="shared" si="56"/>
        <v>1094.9041557339006</v>
      </c>
      <c r="BX47" s="91">
        <f t="shared" si="57"/>
        <v>0.13411884782915121</v>
      </c>
      <c r="BY47" s="91">
        <f t="shared" si="58"/>
        <v>1.5211678927384013E-6</v>
      </c>
      <c r="BZ47" s="91">
        <f t="shared" si="59"/>
        <v>0</v>
      </c>
      <c r="CA47" s="91">
        <f t="shared" si="60"/>
        <v>70.425787545152673</v>
      </c>
      <c r="CB47" s="91">
        <f t="shared" si="61"/>
        <v>56.268486635458025</v>
      </c>
      <c r="CC47" s="95">
        <f t="shared" si="62"/>
        <v>74.481000000000009</v>
      </c>
      <c r="CD47" s="90">
        <f t="shared" si="63"/>
        <v>2.9294544238463396</v>
      </c>
      <c r="CE47" s="91">
        <f t="shared" si="64"/>
        <v>488.39549515554648</v>
      </c>
      <c r="CF47" s="91">
        <f t="shared" si="65"/>
        <v>381515.02499570668</v>
      </c>
      <c r="CG47" s="87">
        <f t="shared" si="66"/>
        <v>3815150249.957067</v>
      </c>
      <c r="CH47" s="90">
        <f t="shared" si="67"/>
        <v>3.8151502499570671</v>
      </c>
      <c r="CI47" s="87">
        <f t="shared" si="68"/>
        <v>0.5</v>
      </c>
      <c r="CJ47" s="87">
        <f t="shared" si="69"/>
        <v>11.74</v>
      </c>
      <c r="CK47" s="87">
        <f t="shared" si="70"/>
        <v>0.33600000000000002</v>
      </c>
      <c r="CL47" s="90">
        <f t="shared" si="71"/>
        <v>0.71352796584861011</v>
      </c>
      <c r="CM47" s="91">
        <f t="shared" si="72"/>
        <v>0</v>
      </c>
      <c r="CN47" s="91">
        <f t="shared" si="73"/>
        <v>0</v>
      </c>
      <c r="CO47" s="91">
        <f t="shared" si="74"/>
        <v>10.617975682270982</v>
      </c>
      <c r="CP47" s="91">
        <f t="shared" si="75"/>
        <v>31.853927046812949</v>
      </c>
      <c r="CQ47" s="87">
        <f t="shared" si="76"/>
        <v>0</v>
      </c>
      <c r="CR47" s="87">
        <f t="shared" si="77"/>
        <v>1</v>
      </c>
      <c r="CS47" s="92">
        <f t="shared" si="78"/>
        <v>7</v>
      </c>
      <c r="CT47" s="87">
        <f t="shared" si="79"/>
        <v>74.481000000000009</v>
      </c>
      <c r="CU47" s="87">
        <f t="shared" si="80"/>
        <v>574.38563336875552</v>
      </c>
      <c r="CV47" s="87">
        <f t="shared" si="81"/>
        <v>0</v>
      </c>
      <c r="CW47" s="87">
        <f t="shared" si="82"/>
        <v>7.4481000000000009E-3</v>
      </c>
      <c r="CX47" s="92">
        <f t="shared" si="83"/>
        <v>2.8415620576705235E-2</v>
      </c>
      <c r="CY47" s="87">
        <f t="shared" si="84"/>
        <v>28415.620576705234</v>
      </c>
      <c r="CZ47" s="91">
        <f t="shared" si="85"/>
        <v>39.824116133850595</v>
      </c>
      <c r="DA47" s="93">
        <f t="shared" si="86"/>
        <v>243.31203460753349</v>
      </c>
      <c r="DB47" s="93">
        <f t="shared" si="87"/>
        <v>729.93610382260044</v>
      </c>
      <c r="DC47" s="91">
        <f t="shared" si="88"/>
        <v>0.89476418302452876</v>
      </c>
      <c r="DD47" s="91">
        <f t="shared" si="89"/>
        <v>4.5168272617930827E-4</v>
      </c>
      <c r="DE47" s="91">
        <f t="shared" si="90"/>
        <v>0</v>
      </c>
      <c r="DF47" s="91">
        <f t="shared" si="91"/>
        <v>66.886462317729013</v>
      </c>
      <c r="DG47" s="91">
        <f t="shared" si="92"/>
        <v>45.650510953187045</v>
      </c>
      <c r="DH47" s="95">
        <f t="shared" si="93"/>
        <v>99.308000000000007</v>
      </c>
      <c r="DI47" s="90">
        <f t="shared" si="94"/>
        <v>2.9294544238463396</v>
      </c>
      <c r="DJ47" s="91">
        <f t="shared" si="95"/>
        <v>488.39549515554648</v>
      </c>
      <c r="DK47" s="91">
        <f t="shared" si="96"/>
        <v>381515.02499570668</v>
      </c>
      <c r="DL47" s="87">
        <f t="shared" si="97"/>
        <v>3815150249.957067</v>
      </c>
      <c r="DM47" s="90">
        <f t="shared" si="98"/>
        <v>3.8151502499570671</v>
      </c>
      <c r="DN47" s="87">
        <f t="shared" si="99"/>
        <v>0.5</v>
      </c>
      <c r="DO47" s="87">
        <f t="shared" si="100"/>
        <v>11.74</v>
      </c>
      <c r="DP47" s="87">
        <f t="shared" si="101"/>
        <v>0.33600000000000002</v>
      </c>
      <c r="DQ47" s="90">
        <f t="shared" si="102"/>
        <v>0.95137062113148008</v>
      </c>
      <c r="DR47" s="91">
        <f t="shared" si="103"/>
        <v>0</v>
      </c>
      <c r="DS47" s="91">
        <f t="shared" si="104"/>
        <v>0</v>
      </c>
      <c r="DT47" s="91">
        <f t="shared" si="105"/>
        <v>14.157300909694644</v>
      </c>
      <c r="DU47" s="91">
        <f t="shared" si="106"/>
        <v>42.471902729083936</v>
      </c>
      <c r="DV47" s="87">
        <f t="shared" si="107"/>
        <v>0</v>
      </c>
      <c r="DW47" s="87">
        <f t="shared" si="108"/>
        <v>1</v>
      </c>
      <c r="DX47" s="92">
        <f t="shared" si="109"/>
        <v>7</v>
      </c>
      <c r="DY47" s="87">
        <f t="shared" si="110"/>
        <v>99.308000000000007</v>
      </c>
      <c r="DZ47" s="87">
        <f t="shared" si="111"/>
        <v>574.38563336875552</v>
      </c>
      <c r="EA47" s="87">
        <f t="shared" si="112"/>
        <v>0</v>
      </c>
      <c r="EB47" s="87">
        <f t="shared" si="113"/>
        <v>9.9308E-3</v>
      </c>
      <c r="EC47" s="92">
        <f t="shared" si="114"/>
        <v>3.7887494102273642E-2</v>
      </c>
      <c r="ED47" s="87">
        <f t="shared" si="115"/>
        <v>37887.494102273646</v>
      </c>
      <c r="EE47" s="91">
        <f t="shared" si="116"/>
        <v>39.824116133850602</v>
      </c>
      <c r="EF47" s="93">
        <f t="shared" si="117"/>
        <v>182.48402595565011</v>
      </c>
      <c r="EG47" s="93">
        <f t="shared" si="118"/>
        <v>547.45207786695028</v>
      </c>
      <c r="EH47" s="91">
        <f t="shared" si="119"/>
        <v>2.3110959676496248</v>
      </c>
      <c r="EI47" s="91">
        <f t="shared" si="120"/>
        <v>7.7832619652366125E-3</v>
      </c>
      <c r="EJ47" s="91">
        <f t="shared" si="121"/>
        <v>0</v>
      </c>
      <c r="EK47" s="91">
        <f t="shared" si="122"/>
        <v>63.347137090305353</v>
      </c>
      <c r="EL47" s="91">
        <f t="shared" si="123"/>
        <v>35.032535270916057</v>
      </c>
    </row>
    <row r="48" spans="1:142" x14ac:dyDescent="0.4">
      <c r="A48" s="21">
        <v>80</v>
      </c>
      <c r="B48" s="21" t="s">
        <v>94</v>
      </c>
      <c r="C48" s="21">
        <v>106.590699</v>
      </c>
      <c r="D48" s="21">
        <v>619857.4</v>
      </c>
      <c r="E48" s="21">
        <v>6081707</v>
      </c>
      <c r="F48" s="21">
        <v>806.2</v>
      </c>
      <c r="G48" s="21">
        <v>16</v>
      </c>
      <c r="H48" s="21">
        <v>0</v>
      </c>
      <c r="I48" s="21">
        <v>38.5</v>
      </c>
      <c r="J48" s="21">
        <v>0</v>
      </c>
      <c r="K48" s="21">
        <v>100</v>
      </c>
      <c r="L48" s="21">
        <v>3.8</v>
      </c>
      <c r="M48" s="21">
        <v>100</v>
      </c>
      <c r="N48" s="21">
        <v>1</v>
      </c>
      <c r="O48" s="35">
        <v>11</v>
      </c>
      <c r="P48" s="21">
        <v>90</v>
      </c>
      <c r="Q48" s="4">
        <v>781.16</v>
      </c>
      <c r="R48" s="4">
        <v>30.899999619999999</v>
      </c>
      <c r="S48" s="89">
        <f t="shared" si="0"/>
        <v>36.574999999999996</v>
      </c>
      <c r="T48" s="90">
        <f t="shared" si="1"/>
        <v>3.1430387596364455</v>
      </c>
      <c r="U48" s="91">
        <f t="shared" si="2"/>
        <v>506.48395255361049</v>
      </c>
      <c r="V48" s="91">
        <f t="shared" si="3"/>
        <v>395645.00437677838</v>
      </c>
      <c r="W48" s="87">
        <f t="shared" si="4"/>
        <v>3956450043.7677836</v>
      </c>
      <c r="X48" s="90">
        <f t="shared" si="5"/>
        <v>3.9564500437677834</v>
      </c>
      <c r="Y48" s="87">
        <f t="shared" si="6"/>
        <v>0.5</v>
      </c>
      <c r="Z48" s="87">
        <f t="shared" si="7"/>
        <v>11.74</v>
      </c>
      <c r="AA48" s="87">
        <f t="shared" si="8"/>
        <v>0.33600000000000002</v>
      </c>
      <c r="AB48" s="90">
        <f t="shared" si="9"/>
        <v>0.35038849305074998</v>
      </c>
      <c r="AC48" s="91">
        <f t="shared" si="10"/>
        <v>0</v>
      </c>
      <c r="AD48" s="91">
        <f t="shared" si="11"/>
        <v>0</v>
      </c>
      <c r="AE48" s="91">
        <f t="shared" si="12"/>
        <v>5.2141144799218742</v>
      </c>
      <c r="AF48" s="91">
        <f t="shared" si="13"/>
        <v>15.642343439765622</v>
      </c>
      <c r="AG48" s="87">
        <f t="shared" si="14"/>
        <v>0</v>
      </c>
      <c r="AH48" s="87">
        <f t="shared" si="15"/>
        <v>1</v>
      </c>
      <c r="AI48" s="92">
        <f t="shared" si="16"/>
        <v>11</v>
      </c>
      <c r="AJ48" s="87">
        <f t="shared" si="17"/>
        <v>36.574999999999996</v>
      </c>
      <c r="AK48" s="87">
        <f t="shared" si="18"/>
        <v>366.85901449174941</v>
      </c>
      <c r="AL48" s="87">
        <f t="shared" si="19"/>
        <v>0</v>
      </c>
      <c r="AM48" s="87">
        <f t="shared" si="20"/>
        <v>3.6574999999999997E-3</v>
      </c>
      <c r="AN48" s="92">
        <f t="shared" si="21"/>
        <v>1.4470716035080667E-2</v>
      </c>
      <c r="AO48" s="87">
        <f t="shared" si="22"/>
        <v>14470.716035080666</v>
      </c>
      <c r="AP48" s="91">
        <f t="shared" si="23"/>
        <v>41.299061818747397</v>
      </c>
      <c r="AQ48" s="93">
        <f t="shared" si="24"/>
        <v>681.42410637160333</v>
      </c>
      <c r="AR48" s="93">
        <f t="shared" si="25"/>
        <v>2044.2723191148098</v>
      </c>
      <c r="AS48" s="91">
        <f t="shared" si="26"/>
        <v>9.9838031614696678E-4</v>
      </c>
      <c r="AT48" s="91">
        <f t="shared" si="27"/>
        <v>5.8345539222513443E-13</v>
      </c>
      <c r="AU48" s="91">
        <f t="shared" si="28"/>
        <v>0</v>
      </c>
      <c r="AV48" s="91">
        <f t="shared" si="29"/>
        <v>101.37658452007813</v>
      </c>
      <c r="AW48" s="91">
        <f t="shared" si="30"/>
        <v>90.948355560234376</v>
      </c>
      <c r="AX48" s="95">
        <f t="shared" si="31"/>
        <v>73.149999999999991</v>
      </c>
      <c r="AY48" s="90">
        <f t="shared" si="32"/>
        <v>3.1430387596364455</v>
      </c>
      <c r="AZ48" s="91">
        <f t="shared" si="33"/>
        <v>506.48395255361049</v>
      </c>
      <c r="BA48" s="91">
        <f t="shared" si="34"/>
        <v>395645.00437677838</v>
      </c>
      <c r="BB48" s="87">
        <f t="shared" si="35"/>
        <v>3956450043.7677836</v>
      </c>
      <c r="BC48" s="90">
        <f t="shared" si="36"/>
        <v>3.9564500437677834</v>
      </c>
      <c r="BD48" s="87">
        <f t="shared" si="37"/>
        <v>0.5</v>
      </c>
      <c r="BE48" s="87">
        <f t="shared" si="38"/>
        <v>11.74</v>
      </c>
      <c r="BF48" s="87">
        <f t="shared" si="39"/>
        <v>0.33600000000000002</v>
      </c>
      <c r="BG48" s="90">
        <f t="shared" si="40"/>
        <v>0.70077698610149997</v>
      </c>
      <c r="BH48" s="91">
        <f t="shared" si="41"/>
        <v>0</v>
      </c>
      <c r="BI48" s="91">
        <f t="shared" si="42"/>
        <v>0</v>
      </c>
      <c r="BJ48" s="91">
        <f t="shared" si="43"/>
        <v>10.428228959843748</v>
      </c>
      <c r="BK48" s="91">
        <f t="shared" si="44"/>
        <v>31.284686879531243</v>
      </c>
      <c r="BL48" s="87">
        <f t="shared" si="45"/>
        <v>0</v>
      </c>
      <c r="BM48" s="87">
        <f t="shared" si="46"/>
        <v>1</v>
      </c>
      <c r="BN48" s="92">
        <f t="shared" si="47"/>
        <v>11</v>
      </c>
      <c r="BO48" s="87">
        <f t="shared" si="48"/>
        <v>73.149999999999991</v>
      </c>
      <c r="BP48" s="87">
        <f t="shared" si="49"/>
        <v>366.85901449174941</v>
      </c>
      <c r="BQ48" s="87">
        <f t="shared" si="50"/>
        <v>0</v>
      </c>
      <c r="BR48" s="87">
        <f t="shared" si="51"/>
        <v>7.3149999999999995E-3</v>
      </c>
      <c r="BS48" s="92">
        <f t="shared" si="52"/>
        <v>2.8941432070161335E-2</v>
      </c>
      <c r="BT48" s="87">
        <f t="shared" si="53"/>
        <v>28941.432070161332</v>
      </c>
      <c r="BU48" s="91">
        <f t="shared" si="54"/>
        <v>41.299061818747397</v>
      </c>
      <c r="BV48" s="93">
        <f t="shared" si="55"/>
        <v>340.71205318580166</v>
      </c>
      <c r="BW48" s="93">
        <f t="shared" si="56"/>
        <v>1022.1361595574049</v>
      </c>
      <c r="BX48" s="91">
        <f t="shared" si="57"/>
        <v>0.20305706191899398</v>
      </c>
      <c r="BY48" s="91">
        <f t="shared" si="58"/>
        <v>4.908783995246412E-6</v>
      </c>
      <c r="BZ48" s="91">
        <f t="shared" si="59"/>
        <v>0</v>
      </c>
      <c r="CA48" s="91">
        <f t="shared" si="60"/>
        <v>96.162470040156251</v>
      </c>
      <c r="CB48" s="91">
        <f t="shared" si="61"/>
        <v>75.30601212046875</v>
      </c>
      <c r="CC48" s="95">
        <f t="shared" si="62"/>
        <v>109.72499999999999</v>
      </c>
      <c r="CD48" s="90">
        <f t="shared" si="63"/>
        <v>3.1430387596364455</v>
      </c>
      <c r="CE48" s="91">
        <f t="shared" si="64"/>
        <v>506.48395255361049</v>
      </c>
      <c r="CF48" s="91">
        <f t="shared" si="65"/>
        <v>395645.00437677838</v>
      </c>
      <c r="CG48" s="87">
        <f t="shared" si="66"/>
        <v>3956450043.7677836</v>
      </c>
      <c r="CH48" s="90">
        <f t="shared" si="67"/>
        <v>3.9564500437677834</v>
      </c>
      <c r="CI48" s="87">
        <f t="shared" si="68"/>
        <v>0.5</v>
      </c>
      <c r="CJ48" s="87">
        <f t="shared" si="69"/>
        <v>11.74</v>
      </c>
      <c r="CK48" s="87">
        <f t="shared" si="70"/>
        <v>0.33600000000000002</v>
      </c>
      <c r="CL48" s="90">
        <f t="shared" si="71"/>
        <v>1.0511654791522498</v>
      </c>
      <c r="CM48" s="91">
        <f t="shared" si="72"/>
        <v>0</v>
      </c>
      <c r="CN48" s="91">
        <f t="shared" si="73"/>
        <v>0</v>
      </c>
      <c r="CO48" s="91">
        <f t="shared" si="74"/>
        <v>15.64234343976562</v>
      </c>
      <c r="CP48" s="91">
        <f t="shared" si="75"/>
        <v>46.927030319296861</v>
      </c>
      <c r="CQ48" s="87">
        <f t="shared" si="76"/>
        <v>0</v>
      </c>
      <c r="CR48" s="87">
        <f t="shared" si="77"/>
        <v>1</v>
      </c>
      <c r="CS48" s="92">
        <f t="shared" si="78"/>
        <v>11</v>
      </c>
      <c r="CT48" s="87">
        <f t="shared" si="79"/>
        <v>109.72499999999999</v>
      </c>
      <c r="CU48" s="87">
        <f t="shared" si="80"/>
        <v>366.85901449174941</v>
      </c>
      <c r="CV48" s="87">
        <f t="shared" si="81"/>
        <v>0</v>
      </c>
      <c r="CW48" s="87">
        <f t="shared" si="82"/>
        <v>1.09725E-2</v>
      </c>
      <c r="CX48" s="92">
        <f t="shared" si="83"/>
        <v>4.3412148105242E-2</v>
      </c>
      <c r="CY48" s="87">
        <f t="shared" si="84"/>
        <v>43412.148105242006</v>
      </c>
      <c r="CZ48" s="91">
        <f t="shared" si="85"/>
        <v>41.299061818747404</v>
      </c>
      <c r="DA48" s="93">
        <f t="shared" si="86"/>
        <v>227.14136879053447</v>
      </c>
      <c r="DB48" s="93">
        <f t="shared" si="87"/>
        <v>681.42410637160344</v>
      </c>
      <c r="DC48" s="91">
        <f t="shared" si="88"/>
        <v>1.1941497553222513</v>
      </c>
      <c r="DD48" s="91">
        <f t="shared" si="89"/>
        <v>9.9838031614696526E-4</v>
      </c>
      <c r="DE48" s="91">
        <f t="shared" si="90"/>
        <v>0</v>
      </c>
      <c r="DF48" s="91">
        <f t="shared" si="91"/>
        <v>90.948355560234376</v>
      </c>
      <c r="DG48" s="91">
        <f t="shared" si="92"/>
        <v>59.66366868070314</v>
      </c>
      <c r="DH48" s="95">
        <f t="shared" si="93"/>
        <v>146.29999999999998</v>
      </c>
      <c r="DI48" s="90">
        <f t="shared" si="94"/>
        <v>3.1430387596364455</v>
      </c>
      <c r="DJ48" s="91">
        <f t="shared" si="95"/>
        <v>506.48395255361049</v>
      </c>
      <c r="DK48" s="91">
        <f t="shared" si="96"/>
        <v>395645.00437677838</v>
      </c>
      <c r="DL48" s="87">
        <f t="shared" si="97"/>
        <v>3956450043.7677836</v>
      </c>
      <c r="DM48" s="90">
        <f t="shared" si="98"/>
        <v>3.9564500437677834</v>
      </c>
      <c r="DN48" s="87">
        <f t="shared" si="99"/>
        <v>0.5</v>
      </c>
      <c r="DO48" s="87">
        <f t="shared" si="100"/>
        <v>11.74</v>
      </c>
      <c r="DP48" s="87">
        <f t="shared" si="101"/>
        <v>0.33600000000000002</v>
      </c>
      <c r="DQ48" s="90">
        <f t="shared" si="102"/>
        <v>1.4015539722029999</v>
      </c>
      <c r="DR48" s="91">
        <f t="shared" si="103"/>
        <v>0</v>
      </c>
      <c r="DS48" s="91">
        <f t="shared" si="104"/>
        <v>0</v>
      </c>
      <c r="DT48" s="91">
        <f t="shared" si="105"/>
        <v>20.856457919687497</v>
      </c>
      <c r="DU48" s="91">
        <f t="shared" si="106"/>
        <v>62.569373759062486</v>
      </c>
      <c r="DV48" s="87">
        <f t="shared" si="107"/>
        <v>0</v>
      </c>
      <c r="DW48" s="87">
        <f t="shared" si="108"/>
        <v>1</v>
      </c>
      <c r="DX48" s="92">
        <f t="shared" si="109"/>
        <v>11</v>
      </c>
      <c r="DY48" s="87">
        <f t="shared" si="110"/>
        <v>146.29999999999998</v>
      </c>
      <c r="DZ48" s="87">
        <f t="shared" si="111"/>
        <v>366.85901449174941</v>
      </c>
      <c r="EA48" s="87">
        <f t="shared" si="112"/>
        <v>0</v>
      </c>
      <c r="EB48" s="87">
        <f t="shared" si="113"/>
        <v>1.4629999999999999E-2</v>
      </c>
      <c r="EC48" s="92">
        <f t="shared" si="114"/>
        <v>5.7882864140322669E-2</v>
      </c>
      <c r="ED48" s="87">
        <f t="shared" si="115"/>
        <v>57882.864140322665</v>
      </c>
      <c r="EE48" s="91">
        <f t="shared" si="116"/>
        <v>41.299061818747397</v>
      </c>
      <c r="EF48" s="93">
        <f t="shared" si="117"/>
        <v>170.35602659290083</v>
      </c>
      <c r="EG48" s="93">
        <f t="shared" si="118"/>
        <v>511.06807977870244</v>
      </c>
      <c r="EH48" s="91">
        <f t="shared" si="119"/>
        <v>2.8958705345587794</v>
      </c>
      <c r="EI48" s="91">
        <f t="shared" si="120"/>
        <v>1.4238264419323002E-2</v>
      </c>
      <c r="EJ48" s="91">
        <f t="shared" si="121"/>
        <v>0</v>
      </c>
      <c r="EK48" s="91">
        <f t="shared" si="122"/>
        <v>85.734241080312501</v>
      </c>
      <c r="EL48" s="91">
        <f t="shared" si="123"/>
        <v>44.021325240937514</v>
      </c>
    </row>
    <row r="49" spans="1:142" x14ac:dyDescent="0.4">
      <c r="A49" s="21">
        <v>85</v>
      </c>
      <c r="B49" s="21" t="s">
        <v>94</v>
      </c>
      <c r="C49" s="21">
        <v>47.911650000000002</v>
      </c>
      <c r="D49" s="21">
        <v>619939.9</v>
      </c>
      <c r="E49" s="21">
        <v>6081831</v>
      </c>
      <c r="F49" s="21">
        <v>806.7</v>
      </c>
      <c r="G49" s="21">
        <v>10</v>
      </c>
      <c r="H49" s="21">
        <v>0</v>
      </c>
      <c r="I49" s="21">
        <v>20.93</v>
      </c>
      <c r="J49" s="21">
        <v>0</v>
      </c>
      <c r="K49" s="21">
        <v>100</v>
      </c>
      <c r="L49" s="21">
        <v>4.8</v>
      </c>
      <c r="M49" s="21">
        <v>100</v>
      </c>
      <c r="N49" s="21">
        <v>0</v>
      </c>
      <c r="O49" s="35">
        <v>3</v>
      </c>
      <c r="P49" s="21">
        <v>90</v>
      </c>
      <c r="Q49" s="4">
        <v>781.16</v>
      </c>
      <c r="R49" s="4">
        <v>30.899999619999999</v>
      </c>
      <c r="S49" s="89">
        <f t="shared" si="0"/>
        <v>25.116</v>
      </c>
      <c r="T49" s="90">
        <f t="shared" si="1"/>
        <v>2.4803708090655769</v>
      </c>
      <c r="U49" s="91">
        <f t="shared" si="2"/>
        <v>450.36260381976365</v>
      </c>
      <c r="V49" s="91">
        <f t="shared" si="3"/>
        <v>351805.25159984658</v>
      </c>
      <c r="W49" s="87">
        <f t="shared" si="4"/>
        <v>3518052515.998466</v>
      </c>
      <c r="X49" s="90">
        <f t="shared" si="5"/>
        <v>3.5180525159984661</v>
      </c>
      <c r="Y49" s="87">
        <f t="shared" si="6"/>
        <v>0.5</v>
      </c>
      <c r="Z49" s="87">
        <f t="shared" si="7"/>
        <v>11.74</v>
      </c>
      <c r="AA49" s="87">
        <f t="shared" si="8"/>
        <v>0.33600000000000002</v>
      </c>
      <c r="AB49" s="90">
        <f t="shared" si="9"/>
        <v>0.24061127522796</v>
      </c>
      <c r="AC49" s="91">
        <f t="shared" si="10"/>
        <v>0</v>
      </c>
      <c r="AD49" s="91">
        <f t="shared" si="11"/>
        <v>0</v>
      </c>
      <c r="AE49" s="91">
        <f t="shared" si="12"/>
        <v>3.5805249289874994</v>
      </c>
      <c r="AF49" s="91">
        <f t="shared" si="13"/>
        <v>10.741574786962499</v>
      </c>
      <c r="AG49" s="87">
        <f t="shared" si="14"/>
        <v>0</v>
      </c>
      <c r="AH49" s="87">
        <f t="shared" si="15"/>
        <v>0</v>
      </c>
      <c r="AI49" s="92">
        <f t="shared" si="16"/>
        <v>3</v>
      </c>
      <c r="AJ49" s="87">
        <f t="shared" si="17"/>
        <v>25.116</v>
      </c>
      <c r="AK49" s="87">
        <f t="shared" si="18"/>
        <v>1337.5125826508179</v>
      </c>
      <c r="AL49" s="87">
        <f t="shared" si="19"/>
        <v>0</v>
      </c>
      <c r="AM49" s="87">
        <f t="shared" si="20"/>
        <v>2.5116000000000001E-3</v>
      </c>
      <c r="AN49" s="92">
        <f t="shared" si="21"/>
        <v>8.8359406991817477E-3</v>
      </c>
      <c r="AO49" s="87">
        <f t="shared" si="22"/>
        <v>8835.9406991817486</v>
      </c>
      <c r="AP49" s="91">
        <f t="shared" si="23"/>
        <v>36.722887116617457</v>
      </c>
      <c r="AQ49" s="93">
        <f t="shared" si="24"/>
        <v>446.03934665289853</v>
      </c>
      <c r="AR49" s="93">
        <f t="shared" si="25"/>
        <v>1338.1180399586956</v>
      </c>
      <c r="AS49" s="91">
        <f t="shared" si="26"/>
        <v>3.4915877171507438E-2</v>
      </c>
      <c r="AT49" s="91">
        <f t="shared" si="27"/>
        <v>3.1564232651957764E-8</v>
      </c>
      <c r="AU49" s="91">
        <f t="shared" si="28"/>
        <v>0</v>
      </c>
      <c r="AV49" s="91">
        <f t="shared" si="29"/>
        <v>44.331125071012501</v>
      </c>
      <c r="AW49" s="91">
        <f t="shared" si="30"/>
        <v>37.170075213037507</v>
      </c>
      <c r="AX49" s="95">
        <f t="shared" si="31"/>
        <v>50.231999999999999</v>
      </c>
      <c r="AY49" s="90">
        <f t="shared" si="32"/>
        <v>2.4803708090655769</v>
      </c>
      <c r="AZ49" s="91">
        <f t="shared" si="33"/>
        <v>450.36260381976365</v>
      </c>
      <c r="BA49" s="91">
        <f t="shared" si="34"/>
        <v>351805.25159984658</v>
      </c>
      <c r="BB49" s="87">
        <f t="shared" si="35"/>
        <v>3518052515.998466</v>
      </c>
      <c r="BC49" s="90">
        <f t="shared" si="36"/>
        <v>3.5180525159984661</v>
      </c>
      <c r="BD49" s="87">
        <f t="shared" si="37"/>
        <v>0.5</v>
      </c>
      <c r="BE49" s="87">
        <f t="shared" si="38"/>
        <v>11.74</v>
      </c>
      <c r="BF49" s="87">
        <f t="shared" si="39"/>
        <v>0.33600000000000002</v>
      </c>
      <c r="BG49" s="90">
        <f t="shared" si="40"/>
        <v>0.48122255045592</v>
      </c>
      <c r="BH49" s="91">
        <f t="shared" si="41"/>
        <v>0</v>
      </c>
      <c r="BI49" s="91">
        <f t="shared" si="42"/>
        <v>0</v>
      </c>
      <c r="BJ49" s="91">
        <f t="shared" si="43"/>
        <v>7.1610498579749988</v>
      </c>
      <c r="BK49" s="91">
        <f t="shared" si="44"/>
        <v>21.483149573924997</v>
      </c>
      <c r="BL49" s="87">
        <f t="shared" si="45"/>
        <v>0</v>
      </c>
      <c r="BM49" s="87">
        <f t="shared" si="46"/>
        <v>0</v>
      </c>
      <c r="BN49" s="92">
        <f t="shared" si="47"/>
        <v>3</v>
      </c>
      <c r="BO49" s="87">
        <f t="shared" si="48"/>
        <v>50.231999999999999</v>
      </c>
      <c r="BP49" s="87">
        <f t="shared" si="49"/>
        <v>1337.5125826508179</v>
      </c>
      <c r="BQ49" s="87">
        <f t="shared" si="50"/>
        <v>0</v>
      </c>
      <c r="BR49" s="87">
        <f t="shared" si="51"/>
        <v>5.0232000000000002E-3</v>
      </c>
      <c r="BS49" s="92">
        <f t="shared" si="52"/>
        <v>1.7671881398363495E-2</v>
      </c>
      <c r="BT49" s="87">
        <f t="shared" si="53"/>
        <v>17671.881398363497</v>
      </c>
      <c r="BU49" s="91">
        <f t="shared" si="54"/>
        <v>36.722887116617457</v>
      </c>
      <c r="BV49" s="93">
        <f t="shared" si="55"/>
        <v>223.01967332644927</v>
      </c>
      <c r="BW49" s="93">
        <f t="shared" si="56"/>
        <v>669.0590199793478</v>
      </c>
      <c r="BX49" s="91">
        <f t="shared" si="57"/>
        <v>1.1323479217744641</v>
      </c>
      <c r="BY49" s="91">
        <f t="shared" si="58"/>
        <v>1.0766288834136374E-3</v>
      </c>
      <c r="BZ49" s="91">
        <f t="shared" si="59"/>
        <v>0</v>
      </c>
      <c r="CA49" s="91">
        <f t="shared" si="60"/>
        <v>40.750600142025</v>
      </c>
      <c r="CB49" s="91">
        <f t="shared" si="61"/>
        <v>26.428500426075004</v>
      </c>
      <c r="CC49" s="95">
        <f t="shared" si="62"/>
        <v>75.347999999999999</v>
      </c>
      <c r="CD49" s="90">
        <f t="shared" si="63"/>
        <v>2.4803708090655769</v>
      </c>
      <c r="CE49" s="91">
        <f t="shared" si="64"/>
        <v>450.36260381976365</v>
      </c>
      <c r="CF49" s="91">
        <f t="shared" si="65"/>
        <v>351805.25159984658</v>
      </c>
      <c r="CG49" s="87">
        <f t="shared" si="66"/>
        <v>3518052515.998466</v>
      </c>
      <c r="CH49" s="90">
        <f t="shared" si="67"/>
        <v>3.5180525159984661</v>
      </c>
      <c r="CI49" s="87">
        <f t="shared" si="68"/>
        <v>0.5</v>
      </c>
      <c r="CJ49" s="87">
        <f t="shared" si="69"/>
        <v>11.74</v>
      </c>
      <c r="CK49" s="87">
        <f t="shared" si="70"/>
        <v>0.33600000000000002</v>
      </c>
      <c r="CL49" s="90">
        <f t="shared" si="71"/>
        <v>0.72183382568387999</v>
      </c>
      <c r="CM49" s="91">
        <f t="shared" si="72"/>
        <v>0</v>
      </c>
      <c r="CN49" s="91">
        <f t="shared" si="73"/>
        <v>0</v>
      </c>
      <c r="CO49" s="91">
        <f t="shared" si="74"/>
        <v>10.741574786962499</v>
      </c>
      <c r="CP49" s="91">
        <f t="shared" si="75"/>
        <v>32.224724360887492</v>
      </c>
      <c r="CQ49" s="87">
        <f t="shared" si="76"/>
        <v>0</v>
      </c>
      <c r="CR49" s="87">
        <f t="shared" si="77"/>
        <v>0</v>
      </c>
      <c r="CS49" s="92">
        <f t="shared" si="78"/>
        <v>3</v>
      </c>
      <c r="CT49" s="87">
        <f t="shared" si="79"/>
        <v>75.347999999999999</v>
      </c>
      <c r="CU49" s="87">
        <f t="shared" si="80"/>
        <v>1337.5125826508179</v>
      </c>
      <c r="CV49" s="87">
        <f t="shared" si="81"/>
        <v>0</v>
      </c>
      <c r="CW49" s="87">
        <f t="shared" si="82"/>
        <v>7.5347999999999995E-3</v>
      </c>
      <c r="CX49" s="92">
        <f t="shared" si="83"/>
        <v>2.650782209754524E-2</v>
      </c>
      <c r="CY49" s="87">
        <f t="shared" si="84"/>
        <v>26507.822097545239</v>
      </c>
      <c r="CZ49" s="91">
        <f t="shared" si="85"/>
        <v>36.722887116617443</v>
      </c>
      <c r="DA49" s="93">
        <f t="shared" si="86"/>
        <v>148.67978221763286</v>
      </c>
      <c r="DB49" s="93">
        <f t="shared" si="87"/>
        <v>446.03934665289853</v>
      </c>
      <c r="DC49" s="91">
        <f t="shared" si="88"/>
        <v>3.6110391541094624</v>
      </c>
      <c r="DD49" s="91">
        <f t="shared" si="89"/>
        <v>3.4915877171507424E-2</v>
      </c>
      <c r="DE49" s="91">
        <f t="shared" si="90"/>
        <v>0</v>
      </c>
      <c r="DF49" s="91">
        <f t="shared" si="91"/>
        <v>37.170075213037507</v>
      </c>
      <c r="DG49" s="91">
        <f t="shared" si="92"/>
        <v>15.686925639112509</v>
      </c>
      <c r="DH49" s="95">
        <f t="shared" si="93"/>
        <v>100.464</v>
      </c>
      <c r="DI49" s="90">
        <f t="shared" si="94"/>
        <v>2.4803708090655769</v>
      </c>
      <c r="DJ49" s="91">
        <f t="shared" si="95"/>
        <v>450.36260381976365</v>
      </c>
      <c r="DK49" s="91">
        <f t="shared" si="96"/>
        <v>351805.25159984658</v>
      </c>
      <c r="DL49" s="87">
        <f t="shared" si="97"/>
        <v>3518052515.998466</v>
      </c>
      <c r="DM49" s="90">
        <f t="shared" si="98"/>
        <v>3.5180525159984661</v>
      </c>
      <c r="DN49" s="87">
        <f t="shared" si="99"/>
        <v>0.5</v>
      </c>
      <c r="DO49" s="87">
        <f t="shared" si="100"/>
        <v>11.74</v>
      </c>
      <c r="DP49" s="87">
        <f t="shared" si="101"/>
        <v>0.33600000000000002</v>
      </c>
      <c r="DQ49" s="90">
        <f t="shared" si="102"/>
        <v>0.96244510091183999</v>
      </c>
      <c r="DR49" s="91">
        <f t="shared" si="103"/>
        <v>0</v>
      </c>
      <c r="DS49" s="91">
        <f t="shared" si="104"/>
        <v>0</v>
      </c>
      <c r="DT49" s="91">
        <f t="shared" si="105"/>
        <v>14.322099715949998</v>
      </c>
      <c r="DU49" s="91">
        <f t="shared" si="106"/>
        <v>42.966299147849995</v>
      </c>
      <c r="DV49" s="87">
        <f t="shared" si="107"/>
        <v>0</v>
      </c>
      <c r="DW49" s="87">
        <f t="shared" si="108"/>
        <v>0</v>
      </c>
      <c r="DX49" s="92">
        <f t="shared" si="109"/>
        <v>3</v>
      </c>
      <c r="DY49" s="87">
        <f t="shared" si="110"/>
        <v>100.464</v>
      </c>
      <c r="DZ49" s="87">
        <f t="shared" si="111"/>
        <v>1337.5125826508179</v>
      </c>
      <c r="EA49" s="87">
        <f t="shared" si="112"/>
        <v>0</v>
      </c>
      <c r="EB49" s="87">
        <f t="shared" si="113"/>
        <v>1.00464E-2</v>
      </c>
      <c r="EC49" s="92">
        <f t="shared" si="114"/>
        <v>3.5343762796726991E-2</v>
      </c>
      <c r="ED49" s="87">
        <f t="shared" si="115"/>
        <v>35343.762796726995</v>
      </c>
      <c r="EE49" s="91">
        <f t="shared" si="116"/>
        <v>36.722887116617457</v>
      </c>
      <c r="EF49" s="93">
        <f t="shared" si="117"/>
        <v>111.50983666322463</v>
      </c>
      <c r="EG49" s="93">
        <f t="shared" si="118"/>
        <v>334.5295099896739</v>
      </c>
      <c r="EH49" s="91">
        <f t="shared" si="119"/>
        <v>6.448494778478155</v>
      </c>
      <c r="EI49" s="91">
        <f t="shared" si="120"/>
        <v>0.19883893218403911</v>
      </c>
      <c r="EJ49" s="91">
        <f t="shared" si="121"/>
        <v>0</v>
      </c>
      <c r="EK49" s="91">
        <f t="shared" si="122"/>
        <v>33.589550284050006</v>
      </c>
      <c r="EL49" s="91">
        <f t="shared" si="123"/>
        <v>4.9453508521500069</v>
      </c>
    </row>
    <row r="50" spans="1:142" x14ac:dyDescent="0.4">
      <c r="A50" s="21">
        <v>102</v>
      </c>
      <c r="B50" s="21" t="s">
        <v>94</v>
      </c>
      <c r="C50" s="21">
        <v>22.501885000000001</v>
      </c>
      <c r="D50" s="21">
        <v>620263.80000000005</v>
      </c>
      <c r="E50" s="21">
        <v>6082230</v>
      </c>
      <c r="F50" s="21">
        <v>806.9</v>
      </c>
      <c r="G50" s="21">
        <v>8</v>
      </c>
      <c r="H50" s="21">
        <v>0</v>
      </c>
      <c r="I50" s="21">
        <v>63.7</v>
      </c>
      <c r="J50" s="21">
        <v>0</v>
      </c>
      <c r="K50" s="21">
        <v>100</v>
      </c>
      <c r="L50" s="21">
        <v>4</v>
      </c>
      <c r="M50" s="21">
        <v>100</v>
      </c>
      <c r="N50" s="21">
        <v>0</v>
      </c>
      <c r="O50" s="35">
        <v>7</v>
      </c>
      <c r="P50" s="21">
        <v>90</v>
      </c>
      <c r="Q50" s="4">
        <v>781.16</v>
      </c>
      <c r="R50" s="4">
        <v>30.899999619999999</v>
      </c>
      <c r="S50" s="89">
        <f t="shared" si="0"/>
        <v>63.7</v>
      </c>
      <c r="T50" s="90">
        <f t="shared" si="1"/>
        <v>2.2523775068692409</v>
      </c>
      <c r="U50" s="91">
        <f t="shared" si="2"/>
        <v>431.053851056756</v>
      </c>
      <c r="V50" s="91">
        <f t="shared" si="3"/>
        <v>336722.02629149548</v>
      </c>
      <c r="W50" s="87">
        <f t="shared" si="4"/>
        <v>3367220262.9149547</v>
      </c>
      <c r="X50" s="90">
        <f t="shared" si="5"/>
        <v>3.3672202629149548</v>
      </c>
      <c r="Y50" s="87">
        <f t="shared" si="6"/>
        <v>0.5</v>
      </c>
      <c r="Z50" s="87">
        <f t="shared" si="7"/>
        <v>11.74</v>
      </c>
      <c r="AA50" s="87">
        <f t="shared" si="8"/>
        <v>0.33600000000000002</v>
      </c>
      <c r="AB50" s="90">
        <f t="shared" si="9"/>
        <v>0.61024598789700013</v>
      </c>
      <c r="AC50" s="91">
        <f t="shared" si="10"/>
        <v>0</v>
      </c>
      <c r="AD50" s="91">
        <f t="shared" si="11"/>
        <v>0.10620376389700006</v>
      </c>
      <c r="AE50" s="91">
        <f t="shared" si="12"/>
        <v>9.0810414865625013</v>
      </c>
      <c r="AF50" s="91">
        <f t="shared" si="13"/>
        <v>27.243124459687504</v>
      </c>
      <c r="AG50" s="87">
        <f t="shared" si="14"/>
        <v>0</v>
      </c>
      <c r="AH50" s="87">
        <f t="shared" si="15"/>
        <v>0</v>
      </c>
      <c r="AI50" s="92">
        <f t="shared" si="16"/>
        <v>7</v>
      </c>
      <c r="AJ50" s="87">
        <f t="shared" si="17"/>
        <v>63.7</v>
      </c>
      <c r="AK50" s="87">
        <f t="shared" si="18"/>
        <v>574.38563336875552</v>
      </c>
      <c r="AL50" s="87">
        <f t="shared" si="19"/>
        <v>0</v>
      </c>
      <c r="AM50" s="87">
        <f t="shared" si="20"/>
        <v>6.3700000000000007E-3</v>
      </c>
      <c r="AN50" s="92">
        <f t="shared" si="21"/>
        <v>2.1449193074768263E-2</v>
      </c>
      <c r="AO50" s="87">
        <f t="shared" si="22"/>
        <v>21449.193074768264</v>
      </c>
      <c r="AP50" s="91">
        <f t="shared" si="23"/>
        <v>35.14843767950925</v>
      </c>
      <c r="AQ50" s="93">
        <f t="shared" si="24"/>
        <v>82.596564991276011</v>
      </c>
      <c r="AR50" s="93">
        <f t="shared" si="25"/>
        <v>247.78969497382803</v>
      </c>
      <c r="AS50" s="91">
        <f t="shared" si="26"/>
        <v>9.6897997123101902</v>
      </c>
      <c r="AT50" s="91">
        <f t="shared" si="27"/>
        <v>0.7364314877087238</v>
      </c>
      <c r="AU50" s="91">
        <f t="shared" si="28"/>
        <v>0</v>
      </c>
      <c r="AV50" s="91">
        <f t="shared" si="29"/>
        <v>13.4208435134375</v>
      </c>
      <c r="AW50" s="91">
        <f t="shared" si="30"/>
        <v>0</v>
      </c>
      <c r="AX50" s="95">
        <f t="shared" si="31"/>
        <v>127.4</v>
      </c>
      <c r="AY50" s="90">
        <f t="shared" si="32"/>
        <v>2.2523775068692409</v>
      </c>
      <c r="AZ50" s="91">
        <f t="shared" si="33"/>
        <v>431.053851056756</v>
      </c>
      <c r="BA50" s="91">
        <f t="shared" si="34"/>
        <v>336722.02629149548</v>
      </c>
      <c r="BB50" s="87">
        <f t="shared" si="35"/>
        <v>3367220262.9149547</v>
      </c>
      <c r="BC50" s="90">
        <f t="shared" si="36"/>
        <v>3.3672202629149548</v>
      </c>
      <c r="BD50" s="87">
        <f t="shared" si="37"/>
        <v>0.5</v>
      </c>
      <c r="BE50" s="87">
        <f t="shared" si="38"/>
        <v>11.74</v>
      </c>
      <c r="BF50" s="87">
        <f t="shared" si="39"/>
        <v>0.33600000000000002</v>
      </c>
      <c r="BG50" s="90">
        <f t="shared" si="40"/>
        <v>1.2204919757940003</v>
      </c>
      <c r="BH50" s="91">
        <f t="shared" si="41"/>
        <v>0</v>
      </c>
      <c r="BI50" s="91">
        <f t="shared" si="42"/>
        <v>0.71644975179400017</v>
      </c>
      <c r="BJ50" s="91">
        <f t="shared" si="43"/>
        <v>18.162082973125003</v>
      </c>
      <c r="BK50" s="91">
        <f t="shared" si="44"/>
        <v>54.486248919375008</v>
      </c>
      <c r="BL50" s="87">
        <f t="shared" si="45"/>
        <v>0</v>
      </c>
      <c r="BM50" s="87">
        <f t="shared" si="46"/>
        <v>0</v>
      </c>
      <c r="BN50" s="92">
        <f t="shared" si="47"/>
        <v>7</v>
      </c>
      <c r="BO50" s="87">
        <f t="shared" si="48"/>
        <v>127.4</v>
      </c>
      <c r="BP50" s="87">
        <f t="shared" si="49"/>
        <v>574.38563336875552</v>
      </c>
      <c r="BQ50" s="87">
        <f t="shared" si="50"/>
        <v>0</v>
      </c>
      <c r="BR50" s="87">
        <f t="shared" si="51"/>
        <v>1.2740000000000001E-2</v>
      </c>
      <c r="BS50" s="92">
        <f t="shared" si="52"/>
        <v>4.2898386149536526E-2</v>
      </c>
      <c r="BT50" s="87">
        <f t="shared" si="53"/>
        <v>42898.386149536527</v>
      </c>
      <c r="BU50" s="91">
        <f t="shared" si="54"/>
        <v>35.14843767950925</v>
      </c>
      <c r="BV50" s="93">
        <f t="shared" si="55"/>
        <v>41.298282495638006</v>
      </c>
      <c r="BW50" s="93">
        <f t="shared" si="56"/>
        <v>123.89484748691402</v>
      </c>
      <c r="BX50" s="91">
        <f t="shared" si="57"/>
        <v>18.454845469823404</v>
      </c>
      <c r="BY50" s="91">
        <f t="shared" si="58"/>
        <v>5.0876729701267509</v>
      </c>
      <c r="BZ50" s="91">
        <f t="shared" si="59"/>
        <v>0</v>
      </c>
      <c r="CA50" s="91">
        <f t="shared" si="60"/>
        <v>4.3398020268749988</v>
      </c>
      <c r="CB50" s="91">
        <f t="shared" si="61"/>
        <v>0</v>
      </c>
      <c r="CC50" s="95">
        <f t="shared" si="62"/>
        <v>191.10000000000002</v>
      </c>
      <c r="CD50" s="90">
        <f t="shared" si="63"/>
        <v>2.2523775068692409</v>
      </c>
      <c r="CE50" s="91">
        <f t="shared" si="64"/>
        <v>431.053851056756</v>
      </c>
      <c r="CF50" s="91">
        <f t="shared" si="65"/>
        <v>336722.02629149548</v>
      </c>
      <c r="CG50" s="87">
        <f t="shared" si="66"/>
        <v>3367220262.9149547</v>
      </c>
      <c r="CH50" s="90">
        <f t="shared" si="67"/>
        <v>3.3672202629149548</v>
      </c>
      <c r="CI50" s="87">
        <f t="shared" si="68"/>
        <v>0.5</v>
      </c>
      <c r="CJ50" s="87">
        <f t="shared" si="69"/>
        <v>11.74</v>
      </c>
      <c r="CK50" s="87">
        <f t="shared" si="70"/>
        <v>0.33600000000000002</v>
      </c>
      <c r="CL50" s="90">
        <f t="shared" si="71"/>
        <v>1.8307379636910002</v>
      </c>
      <c r="CM50" s="91">
        <f t="shared" si="72"/>
        <v>0.318611291691</v>
      </c>
      <c r="CN50" s="91">
        <f t="shared" si="73"/>
        <v>1.326695739691</v>
      </c>
      <c r="CO50" s="91">
        <f t="shared" si="74"/>
        <v>27.243124459687504</v>
      </c>
      <c r="CP50" s="91">
        <f t="shared" si="75"/>
        <v>81.729373379062508</v>
      </c>
      <c r="CQ50" s="87">
        <f t="shared" si="76"/>
        <v>0</v>
      </c>
      <c r="CR50" s="87">
        <f t="shared" si="77"/>
        <v>0</v>
      </c>
      <c r="CS50" s="92">
        <f t="shared" si="78"/>
        <v>7</v>
      </c>
      <c r="CT50" s="87">
        <f t="shared" si="79"/>
        <v>191.10000000000002</v>
      </c>
      <c r="CU50" s="87">
        <f t="shared" si="80"/>
        <v>574.38563336875552</v>
      </c>
      <c r="CV50" s="87">
        <f t="shared" si="81"/>
        <v>0.318611291691</v>
      </c>
      <c r="CW50" s="87">
        <f t="shared" si="82"/>
        <v>1.9110000000000002E-2</v>
      </c>
      <c r="CX50" s="92">
        <f t="shared" si="83"/>
        <v>6.4347579224304799E-2</v>
      </c>
      <c r="CY50" s="87">
        <f t="shared" si="84"/>
        <v>64347.579224304798</v>
      </c>
      <c r="CZ50" s="91">
        <f t="shared" si="85"/>
        <v>35.148437679509257</v>
      </c>
      <c r="DA50" s="93">
        <f t="shared" si="86"/>
        <v>27.532188330425338</v>
      </c>
      <c r="DB50" s="93">
        <f t="shared" si="87"/>
        <v>82.596564991276011</v>
      </c>
      <c r="DC50" s="91">
        <f t="shared" si="88"/>
        <v>22.87576451614903</v>
      </c>
      <c r="DD50" s="91">
        <f t="shared" si="89"/>
        <v>9.689799712310192</v>
      </c>
      <c r="DE50" s="91">
        <f t="shared" si="90"/>
        <v>3.0872796025662304</v>
      </c>
      <c r="DF50" s="91">
        <f t="shared" si="91"/>
        <v>0</v>
      </c>
      <c r="DG50" s="91">
        <f t="shared" si="92"/>
        <v>0</v>
      </c>
      <c r="DH50" s="95">
        <f t="shared" si="93"/>
        <v>254.8</v>
      </c>
      <c r="DI50" s="90">
        <f t="shared" si="94"/>
        <v>2.2523775068692409</v>
      </c>
      <c r="DJ50" s="91">
        <f t="shared" si="95"/>
        <v>431.053851056756</v>
      </c>
      <c r="DK50" s="91">
        <f t="shared" si="96"/>
        <v>336722.02629149548</v>
      </c>
      <c r="DL50" s="87">
        <f t="shared" si="97"/>
        <v>3367220262.9149547</v>
      </c>
      <c r="DM50" s="90">
        <f t="shared" si="98"/>
        <v>3.3672202629149548</v>
      </c>
      <c r="DN50" s="87">
        <f t="shared" si="99"/>
        <v>0.5</v>
      </c>
      <c r="DO50" s="87">
        <f t="shared" si="100"/>
        <v>11.74</v>
      </c>
      <c r="DP50" s="87">
        <f t="shared" si="101"/>
        <v>0.33600000000000002</v>
      </c>
      <c r="DQ50" s="90">
        <f t="shared" si="102"/>
        <v>2.4409839515880005</v>
      </c>
      <c r="DR50" s="91">
        <f t="shared" si="103"/>
        <v>0.92885727958800035</v>
      </c>
      <c r="DS50" s="91">
        <f t="shared" si="104"/>
        <v>1.9369417275880005</v>
      </c>
      <c r="DT50" s="91">
        <f t="shared" si="105"/>
        <v>36.324165946250005</v>
      </c>
      <c r="DU50" s="91">
        <f t="shared" si="106"/>
        <v>108.97249783875002</v>
      </c>
      <c r="DV50" s="87">
        <f t="shared" si="107"/>
        <v>0</v>
      </c>
      <c r="DW50" s="87">
        <f t="shared" si="108"/>
        <v>0</v>
      </c>
      <c r="DX50" s="92">
        <f t="shared" si="109"/>
        <v>7</v>
      </c>
      <c r="DY50" s="87">
        <f t="shared" si="110"/>
        <v>254.8</v>
      </c>
      <c r="DZ50" s="87">
        <f t="shared" si="111"/>
        <v>574.38563336875552</v>
      </c>
      <c r="EA50" s="87">
        <f t="shared" si="112"/>
        <v>0.92885727958800035</v>
      </c>
      <c r="EB50" s="87">
        <f t="shared" si="113"/>
        <v>2.5480000000000003E-2</v>
      </c>
      <c r="EC50" s="92">
        <f t="shared" si="114"/>
        <v>8.5796772299073051E-2</v>
      </c>
      <c r="ED50" s="87">
        <f t="shared" si="115"/>
        <v>85796.772299073054</v>
      </c>
      <c r="EE50" s="91">
        <f t="shared" si="116"/>
        <v>35.14843767950925</v>
      </c>
      <c r="EF50" s="93">
        <f t="shared" si="117"/>
        <v>20.649141247819003</v>
      </c>
      <c r="EG50" s="93">
        <f t="shared" si="118"/>
        <v>61.947423743457009</v>
      </c>
      <c r="EH50" s="91">
        <f t="shared" si="119"/>
        <v>25.468784538745886</v>
      </c>
      <c r="EI50" s="91">
        <f t="shared" si="120"/>
        <v>13.372500002775242</v>
      </c>
      <c r="EJ50" s="91">
        <f t="shared" si="121"/>
        <v>12.421143973868338</v>
      </c>
      <c r="EK50" s="91">
        <f t="shared" si="122"/>
        <v>0</v>
      </c>
      <c r="EL50" s="91">
        <f t="shared" si="123"/>
        <v>0</v>
      </c>
    </row>
    <row r="51" spans="1:142" x14ac:dyDescent="0.4">
      <c r="A51" s="21">
        <v>86</v>
      </c>
      <c r="B51" s="21" t="s">
        <v>94</v>
      </c>
      <c r="C51" s="21">
        <v>4.0108709999999999</v>
      </c>
      <c r="D51" s="21">
        <v>619934.4</v>
      </c>
      <c r="E51" s="21">
        <v>6081851.2000000002</v>
      </c>
      <c r="F51" s="21">
        <v>809.3</v>
      </c>
      <c r="G51" s="21">
        <v>9</v>
      </c>
      <c r="H51" s="21">
        <v>0</v>
      </c>
      <c r="I51" s="21">
        <v>10.54</v>
      </c>
      <c r="J51" s="21">
        <v>0</v>
      </c>
      <c r="K51" s="21">
        <v>100</v>
      </c>
      <c r="L51" s="21">
        <v>3.1</v>
      </c>
      <c r="M51" s="21">
        <v>100</v>
      </c>
      <c r="N51" s="21">
        <v>0</v>
      </c>
      <c r="O51" s="35">
        <v>9</v>
      </c>
      <c r="P51" s="21">
        <v>90</v>
      </c>
      <c r="Q51" s="4">
        <v>781.16</v>
      </c>
      <c r="R51" s="4">
        <v>30.899999619999999</v>
      </c>
      <c r="S51" s="89">
        <f t="shared" si="0"/>
        <v>8.1684999999999999</v>
      </c>
      <c r="T51" s="90">
        <f t="shared" si="1"/>
        <v>2.3662432634748507</v>
      </c>
      <c r="U51" s="91">
        <f t="shared" si="2"/>
        <v>440.69714198368507</v>
      </c>
      <c r="V51" s="91">
        <f t="shared" si="3"/>
        <v>344254.9794319754</v>
      </c>
      <c r="W51" s="87">
        <f t="shared" si="4"/>
        <v>3442549794.3197541</v>
      </c>
      <c r="X51" s="90">
        <f t="shared" si="5"/>
        <v>3.4425497943197541</v>
      </c>
      <c r="Y51" s="87">
        <f t="shared" si="6"/>
        <v>0.5</v>
      </c>
      <c r="Z51" s="87">
        <f t="shared" si="7"/>
        <v>11.74</v>
      </c>
      <c r="AA51" s="87">
        <f t="shared" si="8"/>
        <v>0.33600000000000002</v>
      </c>
      <c r="AB51" s="90">
        <f t="shared" si="9"/>
        <v>7.8254228447985005E-2</v>
      </c>
      <c r="AC51" s="91">
        <f t="shared" si="10"/>
        <v>0</v>
      </c>
      <c r="AD51" s="91">
        <f t="shared" si="11"/>
        <v>0</v>
      </c>
      <c r="AE51" s="91">
        <f t="shared" si="12"/>
        <v>1.1644974471426339</v>
      </c>
      <c r="AF51" s="91">
        <f t="shared" si="13"/>
        <v>3.4934923414279018</v>
      </c>
      <c r="AG51" s="87">
        <f t="shared" si="14"/>
        <v>0</v>
      </c>
      <c r="AH51" s="87">
        <f t="shared" si="15"/>
        <v>0</v>
      </c>
      <c r="AI51" s="92">
        <f t="shared" si="16"/>
        <v>9</v>
      </c>
      <c r="AJ51" s="87">
        <f t="shared" si="17"/>
        <v>8.1684999999999999</v>
      </c>
      <c r="AK51" s="87">
        <f t="shared" si="18"/>
        <v>447.47172550497629</v>
      </c>
      <c r="AL51" s="87">
        <f t="shared" si="19"/>
        <v>0</v>
      </c>
      <c r="AM51" s="87">
        <f t="shared" si="20"/>
        <v>8.1685000000000004E-4</v>
      </c>
      <c r="AN51" s="92">
        <f t="shared" si="21"/>
        <v>2.8120467994900912E-3</v>
      </c>
      <c r="AO51" s="87">
        <f t="shared" si="22"/>
        <v>2812.046799490091</v>
      </c>
      <c r="AP51" s="91">
        <f t="shared" si="23"/>
        <v>35.934758482210803</v>
      </c>
      <c r="AQ51" s="93">
        <f t="shared" si="24"/>
        <v>114.80978367797505</v>
      </c>
      <c r="AR51" s="93">
        <f t="shared" si="25"/>
        <v>344.42935103392517</v>
      </c>
      <c r="AS51" s="91">
        <f t="shared" si="26"/>
        <v>5.9934811558293735</v>
      </c>
      <c r="AT51" s="91">
        <f t="shared" si="27"/>
        <v>0.16672778170808863</v>
      </c>
      <c r="AU51" s="91">
        <f t="shared" si="28"/>
        <v>0</v>
      </c>
      <c r="AV51" s="91">
        <f t="shared" si="29"/>
        <v>2.8463735528573659</v>
      </c>
      <c r="AW51" s="91">
        <f t="shared" si="30"/>
        <v>0.51737865857209808</v>
      </c>
      <c r="AX51" s="95">
        <f t="shared" si="31"/>
        <v>16.337</v>
      </c>
      <c r="AY51" s="90">
        <f t="shared" si="32"/>
        <v>2.3662432634748507</v>
      </c>
      <c r="AZ51" s="91">
        <f t="shared" si="33"/>
        <v>440.69714198368507</v>
      </c>
      <c r="BA51" s="91">
        <f t="shared" si="34"/>
        <v>344254.9794319754</v>
      </c>
      <c r="BB51" s="87">
        <f t="shared" si="35"/>
        <v>3442549794.3197541</v>
      </c>
      <c r="BC51" s="90">
        <f t="shared" si="36"/>
        <v>3.4425497943197541</v>
      </c>
      <c r="BD51" s="87">
        <f t="shared" si="37"/>
        <v>0.5</v>
      </c>
      <c r="BE51" s="87">
        <f t="shared" si="38"/>
        <v>11.74</v>
      </c>
      <c r="BF51" s="87">
        <f t="shared" si="39"/>
        <v>0.33600000000000002</v>
      </c>
      <c r="BG51" s="90">
        <f t="shared" si="40"/>
        <v>0.15650845689597001</v>
      </c>
      <c r="BH51" s="91">
        <f t="shared" si="41"/>
        <v>0</v>
      </c>
      <c r="BI51" s="91">
        <f t="shared" si="42"/>
        <v>6.6664946495970004E-2</v>
      </c>
      <c r="BJ51" s="91">
        <f t="shared" si="43"/>
        <v>2.3289948942852678</v>
      </c>
      <c r="BK51" s="91">
        <f t="shared" si="44"/>
        <v>6.9869846828558035</v>
      </c>
      <c r="BL51" s="87">
        <f t="shared" si="45"/>
        <v>0</v>
      </c>
      <c r="BM51" s="87">
        <f t="shared" si="46"/>
        <v>0</v>
      </c>
      <c r="BN51" s="92">
        <f t="shared" si="47"/>
        <v>9</v>
      </c>
      <c r="BO51" s="87">
        <f t="shared" si="48"/>
        <v>16.337</v>
      </c>
      <c r="BP51" s="87">
        <f t="shared" si="49"/>
        <v>447.47172550497629</v>
      </c>
      <c r="BQ51" s="87">
        <f t="shared" si="50"/>
        <v>0</v>
      </c>
      <c r="BR51" s="87">
        <f t="shared" si="51"/>
        <v>1.6337000000000001E-3</v>
      </c>
      <c r="BS51" s="92">
        <f t="shared" si="52"/>
        <v>5.6240935989801824E-3</v>
      </c>
      <c r="BT51" s="87">
        <f t="shared" si="53"/>
        <v>5624.0935989801819</v>
      </c>
      <c r="BU51" s="91">
        <f t="shared" si="54"/>
        <v>35.934758482210803</v>
      </c>
      <c r="BV51" s="93">
        <f t="shared" si="55"/>
        <v>57.404891838987524</v>
      </c>
      <c r="BW51" s="93">
        <f t="shared" si="56"/>
        <v>172.21467551696259</v>
      </c>
      <c r="BX51" s="91">
        <f t="shared" si="57"/>
        <v>14.675636197535361</v>
      </c>
      <c r="BY51" s="91">
        <f t="shared" si="58"/>
        <v>2.447717828499627</v>
      </c>
      <c r="BZ51" s="91">
        <f t="shared" si="59"/>
        <v>0</v>
      </c>
      <c r="CA51" s="91">
        <f t="shared" si="60"/>
        <v>1.681876105714732</v>
      </c>
      <c r="CB51" s="91">
        <f t="shared" si="61"/>
        <v>0</v>
      </c>
      <c r="CC51" s="95">
        <f t="shared" si="62"/>
        <v>24.505499999999998</v>
      </c>
      <c r="CD51" s="90">
        <f t="shared" si="63"/>
        <v>2.3662432634748507</v>
      </c>
      <c r="CE51" s="91">
        <f t="shared" si="64"/>
        <v>440.69714198368507</v>
      </c>
      <c r="CF51" s="91">
        <f t="shared" si="65"/>
        <v>344254.9794319754</v>
      </c>
      <c r="CG51" s="87">
        <f t="shared" si="66"/>
        <v>3442549794.3197541</v>
      </c>
      <c r="CH51" s="90">
        <f t="shared" si="67"/>
        <v>3.4425497943197541</v>
      </c>
      <c r="CI51" s="87">
        <f t="shared" si="68"/>
        <v>0.5</v>
      </c>
      <c r="CJ51" s="87">
        <f t="shared" si="69"/>
        <v>11.74</v>
      </c>
      <c r="CK51" s="87">
        <f t="shared" si="70"/>
        <v>0.33600000000000002</v>
      </c>
      <c r="CL51" s="90">
        <f t="shared" si="71"/>
        <v>0.23476268534395497</v>
      </c>
      <c r="CM51" s="91">
        <f t="shared" si="72"/>
        <v>0</v>
      </c>
      <c r="CN51" s="91">
        <f t="shared" si="73"/>
        <v>0.14491917494395495</v>
      </c>
      <c r="CO51" s="91">
        <f t="shared" si="74"/>
        <v>3.4934923414279009</v>
      </c>
      <c r="CP51" s="91">
        <f t="shared" si="75"/>
        <v>10.480477024283703</v>
      </c>
      <c r="CQ51" s="87">
        <f t="shared" si="76"/>
        <v>0</v>
      </c>
      <c r="CR51" s="87">
        <f t="shared" si="77"/>
        <v>0</v>
      </c>
      <c r="CS51" s="92">
        <f t="shared" si="78"/>
        <v>9</v>
      </c>
      <c r="CT51" s="87">
        <f t="shared" si="79"/>
        <v>24.505499999999998</v>
      </c>
      <c r="CU51" s="87">
        <f t="shared" si="80"/>
        <v>447.47172550497629</v>
      </c>
      <c r="CV51" s="87">
        <f t="shared" si="81"/>
        <v>0</v>
      </c>
      <c r="CW51" s="87">
        <f t="shared" si="82"/>
        <v>2.4505499999999997E-3</v>
      </c>
      <c r="CX51" s="92">
        <f t="shared" si="83"/>
        <v>8.4361403984702724E-3</v>
      </c>
      <c r="CY51" s="87">
        <f t="shared" si="84"/>
        <v>8436.140398470272</v>
      </c>
      <c r="CZ51" s="91">
        <f t="shared" si="85"/>
        <v>35.934758482210803</v>
      </c>
      <c r="DA51" s="93">
        <f t="shared" si="86"/>
        <v>38.269927892658359</v>
      </c>
      <c r="DB51" s="93">
        <f t="shared" si="87"/>
        <v>114.80978367797509</v>
      </c>
      <c r="DC51" s="91">
        <f t="shared" si="88"/>
        <v>19.780451555163513</v>
      </c>
      <c r="DD51" s="91">
        <f t="shared" si="89"/>
        <v>5.993481155829369</v>
      </c>
      <c r="DE51" s="91">
        <f t="shared" si="90"/>
        <v>0</v>
      </c>
      <c r="DF51" s="91">
        <f t="shared" si="91"/>
        <v>0.51737865857209897</v>
      </c>
      <c r="DG51" s="91">
        <f t="shared" si="92"/>
        <v>0</v>
      </c>
      <c r="DH51" s="95">
        <f t="shared" si="93"/>
        <v>32.673999999999999</v>
      </c>
      <c r="DI51" s="90">
        <f t="shared" si="94"/>
        <v>2.3662432634748507</v>
      </c>
      <c r="DJ51" s="91">
        <f t="shared" si="95"/>
        <v>440.69714198368507</v>
      </c>
      <c r="DK51" s="91">
        <f t="shared" si="96"/>
        <v>344254.9794319754</v>
      </c>
      <c r="DL51" s="87">
        <f t="shared" si="97"/>
        <v>3442549794.3197541</v>
      </c>
      <c r="DM51" s="90">
        <f t="shared" si="98"/>
        <v>3.4425497943197541</v>
      </c>
      <c r="DN51" s="87">
        <f t="shared" si="99"/>
        <v>0.5</v>
      </c>
      <c r="DO51" s="87">
        <f t="shared" si="100"/>
        <v>11.74</v>
      </c>
      <c r="DP51" s="87">
        <f t="shared" si="101"/>
        <v>0.33600000000000002</v>
      </c>
      <c r="DQ51" s="90">
        <f t="shared" si="102"/>
        <v>0.31301691379194002</v>
      </c>
      <c r="DR51" s="91">
        <f t="shared" si="103"/>
        <v>4.3486382591940043E-2</v>
      </c>
      <c r="DS51" s="91">
        <f t="shared" si="104"/>
        <v>0.22317340339194</v>
      </c>
      <c r="DT51" s="91">
        <f t="shared" si="105"/>
        <v>4.6579897885705357</v>
      </c>
      <c r="DU51" s="91">
        <f t="shared" si="106"/>
        <v>13.973969365711607</v>
      </c>
      <c r="DV51" s="87">
        <f t="shared" si="107"/>
        <v>0</v>
      </c>
      <c r="DW51" s="87">
        <f t="shared" si="108"/>
        <v>0</v>
      </c>
      <c r="DX51" s="92">
        <f t="shared" si="109"/>
        <v>9</v>
      </c>
      <c r="DY51" s="87">
        <f t="shared" si="110"/>
        <v>32.673999999999999</v>
      </c>
      <c r="DZ51" s="87">
        <f t="shared" si="111"/>
        <v>447.47172550497629</v>
      </c>
      <c r="EA51" s="87">
        <f t="shared" si="112"/>
        <v>4.3486382591940043E-2</v>
      </c>
      <c r="EB51" s="87">
        <f t="shared" si="113"/>
        <v>3.2674000000000002E-3</v>
      </c>
      <c r="EC51" s="92">
        <f t="shared" si="114"/>
        <v>1.1248187197960365E-2</v>
      </c>
      <c r="ED51" s="87">
        <f t="shared" si="115"/>
        <v>11248.187197960364</v>
      </c>
      <c r="EE51" s="91">
        <f t="shared" si="116"/>
        <v>35.934758482210803</v>
      </c>
      <c r="EF51" s="93">
        <f t="shared" si="117"/>
        <v>28.702445919493762</v>
      </c>
      <c r="EG51" s="93">
        <f t="shared" si="118"/>
        <v>86.107337758481293</v>
      </c>
      <c r="EH51" s="91">
        <f t="shared" si="119"/>
        <v>22.964438646115951</v>
      </c>
      <c r="EI51" s="91">
        <f t="shared" si="120"/>
        <v>9.3786005885598716</v>
      </c>
      <c r="EJ51" s="91">
        <f t="shared" si="121"/>
        <v>0.40784141337110863</v>
      </c>
      <c r="EK51" s="91">
        <f t="shared" si="122"/>
        <v>0</v>
      </c>
      <c r="EL51" s="91">
        <f t="shared" si="123"/>
        <v>0</v>
      </c>
    </row>
    <row r="52" spans="1:142" x14ac:dyDescent="0.4">
      <c r="A52" s="21">
        <v>89</v>
      </c>
      <c r="B52" s="21" t="s">
        <v>94</v>
      </c>
      <c r="C52" s="21">
        <v>29.374561</v>
      </c>
      <c r="D52" s="21">
        <v>619982.80000000005</v>
      </c>
      <c r="E52" s="21">
        <v>6081936.5999999996</v>
      </c>
      <c r="F52" s="21">
        <v>811.3</v>
      </c>
      <c r="G52" s="21">
        <v>13</v>
      </c>
      <c r="H52" s="21">
        <v>0</v>
      </c>
      <c r="I52" s="21">
        <v>33.9</v>
      </c>
      <c r="J52" s="21">
        <v>0</v>
      </c>
      <c r="K52" s="21">
        <v>100</v>
      </c>
      <c r="L52" s="21">
        <v>3.1</v>
      </c>
      <c r="M52" s="21">
        <v>100</v>
      </c>
      <c r="N52" s="21">
        <v>1</v>
      </c>
      <c r="O52" s="35">
        <v>17</v>
      </c>
      <c r="P52" s="21">
        <v>90</v>
      </c>
      <c r="Q52" s="4">
        <v>781.16</v>
      </c>
      <c r="R52" s="4">
        <v>30.899999619999999</v>
      </c>
      <c r="S52" s="89">
        <f t="shared" si="0"/>
        <v>26.272500000000001</v>
      </c>
      <c r="T52" s="90">
        <f t="shared" si="1"/>
        <v>2.8192668236646963</v>
      </c>
      <c r="U52" s="91">
        <f t="shared" si="2"/>
        <v>479.0637072961631</v>
      </c>
      <c r="V52" s="91">
        <f t="shared" si="3"/>
        <v>374225.40559147077</v>
      </c>
      <c r="W52" s="87">
        <f t="shared" si="4"/>
        <v>3742254055.9147077</v>
      </c>
      <c r="X52" s="90">
        <f t="shared" si="5"/>
        <v>3.7422540559147075</v>
      </c>
      <c r="Y52" s="87">
        <f t="shared" si="6"/>
        <v>0.5</v>
      </c>
      <c r="Z52" s="87">
        <f t="shared" si="7"/>
        <v>11.74</v>
      </c>
      <c r="AA52" s="87">
        <f t="shared" si="8"/>
        <v>0.33600000000000002</v>
      </c>
      <c r="AB52" s="90">
        <f t="shared" si="9"/>
        <v>0.25169054500822502</v>
      </c>
      <c r="AC52" s="91">
        <f t="shared" si="10"/>
        <v>0</v>
      </c>
      <c r="AD52" s="91">
        <f t="shared" si="11"/>
        <v>0</v>
      </c>
      <c r="AE52" s="91">
        <f t="shared" si="12"/>
        <v>3.7453950150033481</v>
      </c>
      <c r="AF52" s="91">
        <f t="shared" si="13"/>
        <v>11.236185045010044</v>
      </c>
      <c r="AG52" s="87">
        <f t="shared" si="14"/>
        <v>0</v>
      </c>
      <c r="AH52" s="87">
        <f t="shared" si="15"/>
        <v>1</v>
      </c>
      <c r="AI52" s="92">
        <f t="shared" si="16"/>
        <v>17</v>
      </c>
      <c r="AJ52" s="87">
        <f t="shared" si="17"/>
        <v>26.272500000000001</v>
      </c>
      <c r="AK52" s="87">
        <f t="shared" si="18"/>
        <v>239.42125338832878</v>
      </c>
      <c r="AL52" s="87">
        <f t="shared" si="19"/>
        <v>0</v>
      </c>
      <c r="AM52" s="87">
        <f t="shared" si="20"/>
        <v>2.6272500000000002E-3</v>
      </c>
      <c r="AN52" s="92">
        <f t="shared" si="21"/>
        <v>9.831836968401916E-3</v>
      </c>
      <c r="AO52" s="87">
        <f t="shared" si="22"/>
        <v>9831.8369684019162</v>
      </c>
      <c r="AP52" s="91">
        <f t="shared" si="23"/>
        <v>39.063195512889131</v>
      </c>
      <c r="AQ52" s="93">
        <f t="shared" si="24"/>
        <v>261.42824172377931</v>
      </c>
      <c r="AR52" s="93">
        <f t="shared" si="25"/>
        <v>784.28472517133787</v>
      </c>
      <c r="AS52" s="91">
        <f t="shared" si="26"/>
        <v>0.66159622680656804</v>
      </c>
      <c r="AT52" s="91">
        <f t="shared" si="27"/>
        <v>1.8977697705904322E-4</v>
      </c>
      <c r="AU52" s="91">
        <f t="shared" si="28"/>
        <v>0</v>
      </c>
      <c r="AV52" s="91">
        <f t="shared" si="29"/>
        <v>25.629165984996654</v>
      </c>
      <c r="AW52" s="91">
        <f t="shared" si="30"/>
        <v>18.138375954989954</v>
      </c>
      <c r="AX52" s="95">
        <f t="shared" si="31"/>
        <v>52.545000000000002</v>
      </c>
      <c r="AY52" s="90">
        <f t="shared" si="32"/>
        <v>2.8192668236646963</v>
      </c>
      <c r="AZ52" s="91">
        <f t="shared" si="33"/>
        <v>479.0637072961631</v>
      </c>
      <c r="BA52" s="91">
        <f t="shared" si="34"/>
        <v>374225.40559147077</v>
      </c>
      <c r="BB52" s="87">
        <f t="shared" si="35"/>
        <v>3742254055.9147077</v>
      </c>
      <c r="BC52" s="90">
        <f t="shared" si="36"/>
        <v>3.7422540559147075</v>
      </c>
      <c r="BD52" s="87">
        <f t="shared" si="37"/>
        <v>0.5</v>
      </c>
      <c r="BE52" s="87">
        <f t="shared" si="38"/>
        <v>11.74</v>
      </c>
      <c r="BF52" s="87">
        <f t="shared" si="39"/>
        <v>0.33600000000000002</v>
      </c>
      <c r="BG52" s="90">
        <f t="shared" si="40"/>
        <v>0.50338109001645004</v>
      </c>
      <c r="BH52" s="91">
        <f t="shared" si="41"/>
        <v>0</v>
      </c>
      <c r="BI52" s="91">
        <f t="shared" si="42"/>
        <v>0</v>
      </c>
      <c r="BJ52" s="91">
        <f t="shared" si="43"/>
        <v>7.4907900300066963</v>
      </c>
      <c r="BK52" s="91">
        <f t="shared" si="44"/>
        <v>22.472370090020089</v>
      </c>
      <c r="BL52" s="87">
        <f t="shared" si="45"/>
        <v>0</v>
      </c>
      <c r="BM52" s="87">
        <f t="shared" si="46"/>
        <v>1</v>
      </c>
      <c r="BN52" s="92">
        <f t="shared" si="47"/>
        <v>17</v>
      </c>
      <c r="BO52" s="87">
        <f t="shared" si="48"/>
        <v>52.545000000000002</v>
      </c>
      <c r="BP52" s="87">
        <f t="shared" si="49"/>
        <v>239.42125338832878</v>
      </c>
      <c r="BQ52" s="87">
        <f t="shared" si="50"/>
        <v>0</v>
      </c>
      <c r="BR52" s="87">
        <f t="shared" si="51"/>
        <v>5.2545000000000005E-3</v>
      </c>
      <c r="BS52" s="92">
        <f t="shared" si="52"/>
        <v>1.9663673936803832E-2</v>
      </c>
      <c r="BT52" s="87">
        <f t="shared" si="53"/>
        <v>19663.673936803832</v>
      </c>
      <c r="BU52" s="91">
        <f t="shared" si="54"/>
        <v>39.063195512889131</v>
      </c>
      <c r="BV52" s="93">
        <f t="shared" si="55"/>
        <v>130.71412086188965</v>
      </c>
      <c r="BW52" s="93">
        <f t="shared" si="56"/>
        <v>392.14236258566893</v>
      </c>
      <c r="BX52" s="91">
        <f t="shared" si="57"/>
        <v>5.0837056128708618</v>
      </c>
      <c r="BY52" s="91">
        <f t="shared" si="58"/>
        <v>8.6100494532275945E-2</v>
      </c>
      <c r="BZ52" s="91">
        <f t="shared" si="59"/>
        <v>0</v>
      </c>
      <c r="CA52" s="91">
        <f t="shared" si="60"/>
        <v>21.883770969993304</v>
      </c>
      <c r="CB52" s="91">
        <f t="shared" si="61"/>
        <v>6.902190909979911</v>
      </c>
      <c r="CC52" s="95">
        <f t="shared" si="62"/>
        <v>78.817499999999995</v>
      </c>
      <c r="CD52" s="90">
        <f t="shared" si="63"/>
        <v>2.8192668236646963</v>
      </c>
      <c r="CE52" s="91">
        <f t="shared" si="64"/>
        <v>479.0637072961631</v>
      </c>
      <c r="CF52" s="91">
        <f t="shared" si="65"/>
        <v>374225.40559147077</v>
      </c>
      <c r="CG52" s="87">
        <f t="shared" si="66"/>
        <v>3742254055.9147077</v>
      </c>
      <c r="CH52" s="90">
        <f t="shared" si="67"/>
        <v>3.7422540559147075</v>
      </c>
      <c r="CI52" s="87">
        <f t="shared" si="68"/>
        <v>0.5</v>
      </c>
      <c r="CJ52" s="87">
        <f t="shared" si="69"/>
        <v>11.74</v>
      </c>
      <c r="CK52" s="87">
        <f t="shared" si="70"/>
        <v>0.33600000000000002</v>
      </c>
      <c r="CL52" s="90">
        <f t="shared" si="71"/>
        <v>0.75507163502467489</v>
      </c>
      <c r="CM52" s="91">
        <f t="shared" si="72"/>
        <v>0</v>
      </c>
      <c r="CN52" s="91">
        <f t="shared" si="73"/>
        <v>9.7081468624674788E-2</v>
      </c>
      <c r="CO52" s="91">
        <f t="shared" si="74"/>
        <v>11.236185045010041</v>
      </c>
      <c r="CP52" s="91">
        <f t="shared" si="75"/>
        <v>33.708555135030124</v>
      </c>
      <c r="CQ52" s="87">
        <f t="shared" si="76"/>
        <v>0</v>
      </c>
      <c r="CR52" s="87">
        <f t="shared" si="77"/>
        <v>1</v>
      </c>
      <c r="CS52" s="92">
        <f t="shared" si="78"/>
        <v>17</v>
      </c>
      <c r="CT52" s="87">
        <f t="shared" si="79"/>
        <v>78.817499999999995</v>
      </c>
      <c r="CU52" s="87">
        <f t="shared" si="80"/>
        <v>239.42125338832878</v>
      </c>
      <c r="CV52" s="87">
        <f t="shared" si="81"/>
        <v>9.7081468624674788E-2</v>
      </c>
      <c r="CW52" s="87">
        <f t="shared" si="82"/>
        <v>7.8817499999999999E-3</v>
      </c>
      <c r="CX52" s="92">
        <f t="shared" si="83"/>
        <v>2.9495510905205746E-2</v>
      </c>
      <c r="CY52" s="87">
        <f t="shared" si="84"/>
        <v>29495.510905205749</v>
      </c>
      <c r="CZ52" s="91">
        <f t="shared" si="85"/>
        <v>39.063195512889138</v>
      </c>
      <c r="DA52" s="93">
        <f t="shared" si="86"/>
        <v>87.142747241259784</v>
      </c>
      <c r="DB52" s="93">
        <f t="shared" si="87"/>
        <v>261.42824172377937</v>
      </c>
      <c r="DC52" s="91">
        <f t="shared" si="88"/>
        <v>10.031738084089314</v>
      </c>
      <c r="DD52" s="91">
        <f t="shared" si="89"/>
        <v>0.6615962268065676</v>
      </c>
      <c r="DE52" s="91">
        <f t="shared" si="90"/>
        <v>0.97389586606147194</v>
      </c>
      <c r="DF52" s="91">
        <f t="shared" si="91"/>
        <v>18.138375954989961</v>
      </c>
      <c r="DG52" s="91">
        <f t="shared" si="92"/>
        <v>0</v>
      </c>
      <c r="DH52" s="95">
        <f t="shared" si="93"/>
        <v>105.09</v>
      </c>
      <c r="DI52" s="90">
        <f t="shared" si="94"/>
        <v>2.8192668236646963</v>
      </c>
      <c r="DJ52" s="91">
        <f t="shared" si="95"/>
        <v>479.0637072961631</v>
      </c>
      <c r="DK52" s="91">
        <f t="shared" si="96"/>
        <v>374225.40559147077</v>
      </c>
      <c r="DL52" s="87">
        <f t="shared" si="97"/>
        <v>3742254055.9147077</v>
      </c>
      <c r="DM52" s="90">
        <f t="shared" si="98"/>
        <v>3.7422540559147075</v>
      </c>
      <c r="DN52" s="87">
        <f t="shared" si="99"/>
        <v>0.5</v>
      </c>
      <c r="DO52" s="87">
        <f t="shared" si="100"/>
        <v>11.74</v>
      </c>
      <c r="DP52" s="87">
        <f t="shared" si="101"/>
        <v>0.33600000000000002</v>
      </c>
      <c r="DQ52" s="90">
        <f t="shared" si="102"/>
        <v>1.0067621800329001</v>
      </c>
      <c r="DR52" s="91">
        <f t="shared" si="103"/>
        <v>0</v>
      </c>
      <c r="DS52" s="91">
        <f t="shared" si="104"/>
        <v>0.34877201363290006</v>
      </c>
      <c r="DT52" s="91">
        <f t="shared" si="105"/>
        <v>14.981580060013393</v>
      </c>
      <c r="DU52" s="91">
        <f t="shared" si="106"/>
        <v>44.944740180040178</v>
      </c>
      <c r="DV52" s="87">
        <f t="shared" si="107"/>
        <v>0</v>
      </c>
      <c r="DW52" s="87">
        <f t="shared" si="108"/>
        <v>1</v>
      </c>
      <c r="DX52" s="92">
        <f t="shared" si="109"/>
        <v>17</v>
      </c>
      <c r="DY52" s="87">
        <f t="shared" si="110"/>
        <v>105.09</v>
      </c>
      <c r="DZ52" s="87">
        <f t="shared" si="111"/>
        <v>239.42125338832878</v>
      </c>
      <c r="EA52" s="87">
        <f t="shared" si="112"/>
        <v>0.34877201363290006</v>
      </c>
      <c r="EB52" s="87">
        <f t="shared" si="113"/>
        <v>1.0509000000000001E-2</v>
      </c>
      <c r="EC52" s="92">
        <f t="shared" si="114"/>
        <v>3.9327347873607664E-2</v>
      </c>
      <c r="ED52" s="87">
        <f t="shared" si="115"/>
        <v>39327.347873607665</v>
      </c>
      <c r="EE52" s="91">
        <f t="shared" si="116"/>
        <v>39.063195512889131</v>
      </c>
      <c r="EF52" s="93">
        <f t="shared" si="117"/>
        <v>65.357060430944827</v>
      </c>
      <c r="EG52" s="93">
        <f t="shared" si="118"/>
        <v>196.07118129283447</v>
      </c>
      <c r="EH52" s="91">
        <f t="shared" si="119"/>
        <v>14.09204691609939</v>
      </c>
      <c r="EI52" s="91">
        <f t="shared" si="120"/>
        <v>1.8339466872487697</v>
      </c>
      <c r="EJ52" s="91">
        <f t="shared" si="121"/>
        <v>4.9149115791372839</v>
      </c>
      <c r="EK52" s="91">
        <f t="shared" si="122"/>
        <v>14.392980939986607</v>
      </c>
      <c r="EL52" s="91">
        <f t="shared" si="123"/>
        <v>0</v>
      </c>
    </row>
    <row r="53" spans="1:142" x14ac:dyDescent="0.4">
      <c r="A53" s="21">
        <v>81</v>
      </c>
      <c r="B53" s="21" t="s">
        <v>94</v>
      </c>
      <c r="C53" s="21">
        <v>97.897906000000006</v>
      </c>
      <c r="D53" s="21">
        <v>619869.5</v>
      </c>
      <c r="E53" s="21">
        <v>6081743.5999999996</v>
      </c>
      <c r="F53" s="21">
        <v>814.4</v>
      </c>
      <c r="G53" s="21">
        <v>17</v>
      </c>
      <c r="H53" s="21">
        <v>0</v>
      </c>
      <c r="I53" s="21">
        <v>9.2100000000000009</v>
      </c>
      <c r="J53" s="21">
        <v>0</v>
      </c>
      <c r="K53" s="21">
        <v>100</v>
      </c>
      <c r="L53" s="21">
        <v>4.9000000000000004</v>
      </c>
      <c r="M53" s="21">
        <v>100</v>
      </c>
      <c r="N53" s="21">
        <v>0</v>
      </c>
      <c r="O53" s="35">
        <v>17</v>
      </c>
      <c r="P53" s="21">
        <v>90</v>
      </c>
      <c r="Q53" s="4">
        <v>781.16</v>
      </c>
      <c r="R53" s="4">
        <v>30.899999619999999</v>
      </c>
      <c r="S53" s="89">
        <f t="shared" si="0"/>
        <v>11.282250000000001</v>
      </c>
      <c r="T53" s="90">
        <f t="shared" si="1"/>
        <v>3.2456920022533735</v>
      </c>
      <c r="U53" s="91">
        <f t="shared" si="2"/>
        <v>515.17765567083813</v>
      </c>
      <c r="V53" s="91">
        <f t="shared" si="3"/>
        <v>402436.17750383192</v>
      </c>
      <c r="W53" s="87">
        <f t="shared" si="4"/>
        <v>4024361775.0383191</v>
      </c>
      <c r="X53" s="90">
        <f t="shared" si="5"/>
        <v>4.0243617750383187</v>
      </c>
      <c r="Y53" s="87">
        <f t="shared" si="6"/>
        <v>0.5</v>
      </c>
      <c r="Z53" s="87">
        <f t="shared" si="7"/>
        <v>11.74</v>
      </c>
      <c r="AA53" s="87">
        <f t="shared" si="8"/>
        <v>0.33600000000000002</v>
      </c>
      <c r="AB53" s="90">
        <f t="shared" si="9"/>
        <v>0.10808395285637253</v>
      </c>
      <c r="AC53" s="91">
        <f t="shared" si="10"/>
        <v>0</v>
      </c>
      <c r="AD53" s="91">
        <f t="shared" si="11"/>
        <v>0</v>
      </c>
      <c r="AE53" s="91">
        <f t="shared" si="12"/>
        <v>1.6083921556007816</v>
      </c>
      <c r="AF53" s="91">
        <f t="shared" si="13"/>
        <v>4.8251764668023451</v>
      </c>
      <c r="AG53" s="87">
        <f t="shared" si="14"/>
        <v>0</v>
      </c>
      <c r="AH53" s="87">
        <f t="shared" si="15"/>
        <v>0</v>
      </c>
      <c r="AI53" s="92">
        <f t="shared" si="16"/>
        <v>17</v>
      </c>
      <c r="AJ53" s="87">
        <f t="shared" si="17"/>
        <v>11.282250000000001</v>
      </c>
      <c r="AK53" s="87">
        <f t="shared" si="18"/>
        <v>239.42125338832878</v>
      </c>
      <c r="AL53" s="87">
        <f t="shared" si="19"/>
        <v>0</v>
      </c>
      <c r="AM53" s="87">
        <f t="shared" si="20"/>
        <v>1.1282250000000001E-3</v>
      </c>
      <c r="AN53" s="92">
        <f t="shared" si="21"/>
        <v>4.5403855636426075E-3</v>
      </c>
      <c r="AO53" s="87">
        <f t="shared" si="22"/>
        <v>4540.3855636426078</v>
      </c>
      <c r="AP53" s="91">
        <f t="shared" si="23"/>
        <v>42.007952555881296</v>
      </c>
      <c r="AQ53" s="93">
        <f t="shared" si="24"/>
        <v>2028.8979413197949</v>
      </c>
      <c r="AR53" s="93">
        <f t="shared" si="25"/>
        <v>6086.6938239593856</v>
      </c>
      <c r="AS53" s="91">
        <f t="shared" si="26"/>
        <v>7.5432812866599612E-13</v>
      </c>
      <c r="AT53" s="91">
        <f t="shared" si="27"/>
        <v>2.4323041377450542E-40</v>
      </c>
      <c r="AU53" s="91">
        <f t="shared" si="28"/>
        <v>0</v>
      </c>
      <c r="AV53" s="91">
        <f t="shared" si="29"/>
        <v>96.289513844399224</v>
      </c>
      <c r="AW53" s="91">
        <f t="shared" si="30"/>
        <v>93.072729533197659</v>
      </c>
      <c r="AX53" s="95">
        <f t="shared" si="31"/>
        <v>22.564500000000002</v>
      </c>
      <c r="AY53" s="90">
        <f t="shared" si="32"/>
        <v>3.2456920022533735</v>
      </c>
      <c r="AZ53" s="91">
        <f t="shared" si="33"/>
        <v>515.17765567083813</v>
      </c>
      <c r="BA53" s="91">
        <f t="shared" si="34"/>
        <v>402436.17750383192</v>
      </c>
      <c r="BB53" s="87">
        <f t="shared" si="35"/>
        <v>4024361775.0383191</v>
      </c>
      <c r="BC53" s="90">
        <f t="shared" si="36"/>
        <v>4.0243617750383187</v>
      </c>
      <c r="BD53" s="87">
        <f t="shared" si="37"/>
        <v>0.5</v>
      </c>
      <c r="BE53" s="87">
        <f t="shared" si="38"/>
        <v>11.74</v>
      </c>
      <c r="BF53" s="87">
        <f t="shared" si="39"/>
        <v>0.33600000000000002</v>
      </c>
      <c r="BG53" s="90">
        <f t="shared" si="40"/>
        <v>0.21616790571274505</v>
      </c>
      <c r="BH53" s="91">
        <f t="shared" si="41"/>
        <v>0</v>
      </c>
      <c r="BI53" s="91">
        <f t="shared" si="42"/>
        <v>0</v>
      </c>
      <c r="BJ53" s="91">
        <f t="shared" si="43"/>
        <v>3.2167843112015633</v>
      </c>
      <c r="BK53" s="91">
        <f t="shared" si="44"/>
        <v>9.6503529336046903</v>
      </c>
      <c r="BL53" s="87">
        <f t="shared" si="45"/>
        <v>0</v>
      </c>
      <c r="BM53" s="87">
        <f t="shared" si="46"/>
        <v>0</v>
      </c>
      <c r="BN53" s="92">
        <f t="shared" si="47"/>
        <v>17</v>
      </c>
      <c r="BO53" s="87">
        <f t="shared" si="48"/>
        <v>22.564500000000002</v>
      </c>
      <c r="BP53" s="87">
        <f t="shared" si="49"/>
        <v>239.42125338832878</v>
      </c>
      <c r="BQ53" s="87">
        <f t="shared" si="50"/>
        <v>0</v>
      </c>
      <c r="BR53" s="87">
        <f t="shared" si="51"/>
        <v>2.2564500000000001E-3</v>
      </c>
      <c r="BS53" s="92">
        <f t="shared" si="52"/>
        <v>9.080771127285215E-3</v>
      </c>
      <c r="BT53" s="87">
        <f t="shared" si="53"/>
        <v>9080.7711272852157</v>
      </c>
      <c r="BU53" s="91">
        <f t="shared" si="54"/>
        <v>42.007952555881296</v>
      </c>
      <c r="BV53" s="93">
        <f t="shared" si="55"/>
        <v>1014.4489706598974</v>
      </c>
      <c r="BW53" s="93">
        <f t="shared" si="56"/>
        <v>3043.3469119796928</v>
      </c>
      <c r="BX53" s="91">
        <f t="shared" si="57"/>
        <v>5.6291900163849405E-6</v>
      </c>
      <c r="BY53" s="91">
        <f t="shared" si="58"/>
        <v>1.0108220259762249E-19</v>
      </c>
      <c r="BZ53" s="91">
        <f t="shared" si="59"/>
        <v>0</v>
      </c>
      <c r="CA53" s="91">
        <f t="shared" si="60"/>
        <v>94.681121688798441</v>
      </c>
      <c r="CB53" s="91">
        <f t="shared" si="61"/>
        <v>88.247553066395312</v>
      </c>
      <c r="CC53" s="95">
        <f t="shared" si="62"/>
        <v>33.84675</v>
      </c>
      <c r="CD53" s="90">
        <f t="shared" si="63"/>
        <v>3.2456920022533735</v>
      </c>
      <c r="CE53" s="91">
        <f t="shared" si="64"/>
        <v>515.17765567083813</v>
      </c>
      <c r="CF53" s="91">
        <f t="shared" si="65"/>
        <v>402436.17750383192</v>
      </c>
      <c r="CG53" s="87">
        <f t="shared" si="66"/>
        <v>4024361775.0383191</v>
      </c>
      <c r="CH53" s="90">
        <f t="shared" si="67"/>
        <v>4.0243617750383187</v>
      </c>
      <c r="CI53" s="87">
        <f t="shared" si="68"/>
        <v>0.5</v>
      </c>
      <c r="CJ53" s="87">
        <f t="shared" si="69"/>
        <v>11.74</v>
      </c>
      <c r="CK53" s="87">
        <f t="shared" si="70"/>
        <v>0.33600000000000002</v>
      </c>
      <c r="CL53" s="90">
        <f t="shared" si="71"/>
        <v>0.32425185856911753</v>
      </c>
      <c r="CM53" s="91">
        <f t="shared" si="72"/>
        <v>0</v>
      </c>
      <c r="CN53" s="91">
        <f t="shared" si="73"/>
        <v>0</v>
      </c>
      <c r="CO53" s="91">
        <f t="shared" si="74"/>
        <v>4.8251764668023434</v>
      </c>
      <c r="CP53" s="91">
        <f t="shared" si="75"/>
        <v>14.47552940040703</v>
      </c>
      <c r="CQ53" s="87">
        <f t="shared" si="76"/>
        <v>0</v>
      </c>
      <c r="CR53" s="87">
        <f t="shared" si="77"/>
        <v>0</v>
      </c>
      <c r="CS53" s="92">
        <f t="shared" si="78"/>
        <v>17</v>
      </c>
      <c r="CT53" s="87">
        <f t="shared" si="79"/>
        <v>33.84675</v>
      </c>
      <c r="CU53" s="87">
        <f t="shared" si="80"/>
        <v>239.42125338832878</v>
      </c>
      <c r="CV53" s="87">
        <f t="shared" si="81"/>
        <v>0</v>
      </c>
      <c r="CW53" s="87">
        <f t="shared" si="82"/>
        <v>3.3846750000000002E-3</v>
      </c>
      <c r="CX53" s="92">
        <f t="shared" si="83"/>
        <v>1.3621156690927822E-2</v>
      </c>
      <c r="CY53" s="87">
        <f t="shared" si="84"/>
        <v>13621.156690927823</v>
      </c>
      <c r="CZ53" s="91">
        <f t="shared" si="85"/>
        <v>42.007952555881303</v>
      </c>
      <c r="DA53" s="93">
        <f t="shared" si="86"/>
        <v>676.29931377326523</v>
      </c>
      <c r="DB53" s="93">
        <f t="shared" si="87"/>
        <v>2028.8979413197958</v>
      </c>
      <c r="DC53" s="91">
        <f t="shared" si="88"/>
        <v>1.1000382270315654E-3</v>
      </c>
      <c r="DD53" s="91">
        <f t="shared" si="89"/>
        <v>7.5432812866598542E-13</v>
      </c>
      <c r="DE53" s="91">
        <f t="shared" si="90"/>
        <v>0</v>
      </c>
      <c r="DF53" s="91">
        <f t="shared" si="91"/>
        <v>93.072729533197659</v>
      </c>
      <c r="DG53" s="91">
        <f t="shared" si="92"/>
        <v>83.42237659959298</v>
      </c>
      <c r="DH53" s="95">
        <f t="shared" si="93"/>
        <v>45.129000000000005</v>
      </c>
      <c r="DI53" s="90">
        <f t="shared" si="94"/>
        <v>3.2456920022533735</v>
      </c>
      <c r="DJ53" s="91">
        <f t="shared" si="95"/>
        <v>515.17765567083813</v>
      </c>
      <c r="DK53" s="91">
        <f t="shared" si="96"/>
        <v>402436.17750383192</v>
      </c>
      <c r="DL53" s="87">
        <f t="shared" si="97"/>
        <v>4024361775.0383191</v>
      </c>
      <c r="DM53" s="90">
        <f t="shared" si="98"/>
        <v>4.0243617750383187</v>
      </c>
      <c r="DN53" s="87">
        <f t="shared" si="99"/>
        <v>0.5</v>
      </c>
      <c r="DO53" s="87">
        <f t="shared" si="100"/>
        <v>11.74</v>
      </c>
      <c r="DP53" s="87">
        <f t="shared" si="101"/>
        <v>0.33600000000000002</v>
      </c>
      <c r="DQ53" s="90">
        <f t="shared" si="102"/>
        <v>0.4323358114254901</v>
      </c>
      <c r="DR53" s="91">
        <f t="shared" si="103"/>
        <v>0</v>
      </c>
      <c r="DS53" s="91">
        <f t="shared" si="104"/>
        <v>0</v>
      </c>
      <c r="DT53" s="91">
        <f t="shared" si="105"/>
        <v>6.4335686224031265</v>
      </c>
      <c r="DU53" s="91">
        <f t="shared" si="106"/>
        <v>19.300705867209381</v>
      </c>
      <c r="DV53" s="87">
        <f t="shared" si="107"/>
        <v>0</v>
      </c>
      <c r="DW53" s="87">
        <f t="shared" si="108"/>
        <v>0</v>
      </c>
      <c r="DX53" s="92">
        <f t="shared" si="109"/>
        <v>17</v>
      </c>
      <c r="DY53" s="87">
        <f t="shared" si="110"/>
        <v>45.129000000000005</v>
      </c>
      <c r="DZ53" s="87">
        <f t="shared" si="111"/>
        <v>239.42125338832878</v>
      </c>
      <c r="EA53" s="87">
        <f t="shared" si="112"/>
        <v>0</v>
      </c>
      <c r="EB53" s="87">
        <f t="shared" si="113"/>
        <v>4.5129000000000002E-3</v>
      </c>
      <c r="EC53" s="92">
        <f t="shared" si="114"/>
        <v>1.816154225457043E-2</v>
      </c>
      <c r="ED53" s="87">
        <f t="shared" si="115"/>
        <v>18161.542254570431</v>
      </c>
      <c r="EE53" s="91">
        <f t="shared" si="116"/>
        <v>42.007952555881296</v>
      </c>
      <c r="EF53" s="93">
        <f t="shared" si="117"/>
        <v>507.22448532994872</v>
      </c>
      <c r="EG53" s="93">
        <f t="shared" si="118"/>
        <v>1521.6734559898464</v>
      </c>
      <c r="EH53" s="91">
        <f t="shared" si="119"/>
        <v>1.537760537718208E-2</v>
      </c>
      <c r="EI53" s="91">
        <f t="shared" si="120"/>
        <v>2.0606446493670148E-9</v>
      </c>
      <c r="EJ53" s="91">
        <f t="shared" si="121"/>
        <v>0</v>
      </c>
      <c r="EK53" s="91">
        <f t="shared" si="122"/>
        <v>91.464337377596877</v>
      </c>
      <c r="EL53" s="91">
        <f t="shared" si="123"/>
        <v>78.597200132790618</v>
      </c>
    </row>
    <row r="54" spans="1:142" x14ac:dyDescent="0.4">
      <c r="A54" s="21">
        <v>90</v>
      </c>
      <c r="B54" s="21" t="s">
        <v>94</v>
      </c>
      <c r="C54" s="21">
        <v>44.401201999999998</v>
      </c>
      <c r="D54" s="21">
        <v>619982.69999999995</v>
      </c>
      <c r="E54" s="21">
        <v>6081970.5</v>
      </c>
      <c r="F54" s="21">
        <v>816.2</v>
      </c>
      <c r="G54" s="21">
        <v>14</v>
      </c>
      <c r="H54" s="21">
        <v>0</v>
      </c>
      <c r="I54" s="21">
        <v>118.85</v>
      </c>
      <c r="J54" s="21">
        <v>0</v>
      </c>
      <c r="K54" s="21">
        <v>100</v>
      </c>
      <c r="L54" s="21">
        <v>3.2</v>
      </c>
      <c r="M54" s="21">
        <v>100</v>
      </c>
      <c r="N54" s="21">
        <v>0</v>
      </c>
      <c r="O54" s="35">
        <v>7</v>
      </c>
      <c r="P54" s="21">
        <v>90</v>
      </c>
      <c r="Q54" s="4">
        <v>781.16</v>
      </c>
      <c r="R54" s="4">
        <v>30.899999619999999</v>
      </c>
      <c r="S54" s="89">
        <f t="shared" si="0"/>
        <v>95.08</v>
      </c>
      <c r="T54" s="90">
        <f t="shared" si="1"/>
        <v>2.9294544238463396</v>
      </c>
      <c r="U54" s="91">
        <f t="shared" si="2"/>
        <v>488.39549515554648</v>
      </c>
      <c r="V54" s="91">
        <f t="shared" si="3"/>
        <v>381515.02499570668</v>
      </c>
      <c r="W54" s="87">
        <f t="shared" si="4"/>
        <v>3815150249.957067</v>
      </c>
      <c r="X54" s="90">
        <f t="shared" si="5"/>
        <v>3.8151502499570671</v>
      </c>
      <c r="Y54" s="87">
        <f t="shared" si="6"/>
        <v>0.5</v>
      </c>
      <c r="Z54" s="87">
        <f t="shared" si="7"/>
        <v>11.74</v>
      </c>
      <c r="AA54" s="87">
        <f t="shared" si="8"/>
        <v>0.33600000000000002</v>
      </c>
      <c r="AB54" s="90">
        <f t="shared" si="9"/>
        <v>0.91086638193479996</v>
      </c>
      <c r="AC54" s="91">
        <f t="shared" si="10"/>
        <v>0</v>
      </c>
      <c r="AD54" s="91">
        <f t="shared" si="11"/>
        <v>0</v>
      </c>
      <c r="AE54" s="91">
        <f t="shared" si="12"/>
        <v>13.554559254982141</v>
      </c>
      <c r="AF54" s="91">
        <f t="shared" si="13"/>
        <v>40.663677764946428</v>
      </c>
      <c r="AG54" s="87">
        <f t="shared" si="14"/>
        <v>0</v>
      </c>
      <c r="AH54" s="87">
        <f t="shared" si="15"/>
        <v>0</v>
      </c>
      <c r="AI54" s="92">
        <f t="shared" si="16"/>
        <v>7</v>
      </c>
      <c r="AJ54" s="87">
        <f t="shared" si="17"/>
        <v>95.08</v>
      </c>
      <c r="AK54" s="87">
        <f t="shared" si="18"/>
        <v>574.38563336875552</v>
      </c>
      <c r="AL54" s="87">
        <f t="shared" si="19"/>
        <v>0</v>
      </c>
      <c r="AM54" s="87">
        <f t="shared" si="20"/>
        <v>9.5079999999999991E-3</v>
      </c>
      <c r="AN54" s="92">
        <f t="shared" si="21"/>
        <v>3.6274448576591789E-2</v>
      </c>
      <c r="AO54" s="87">
        <f t="shared" si="22"/>
        <v>36274.448576591785</v>
      </c>
      <c r="AP54" s="91">
        <f t="shared" si="23"/>
        <v>39.824116133850595</v>
      </c>
      <c r="AQ54" s="93">
        <f t="shared" si="24"/>
        <v>109.1913089038775</v>
      </c>
      <c r="AR54" s="93">
        <f t="shared" si="25"/>
        <v>327.57392671163245</v>
      </c>
      <c r="AS54" s="91">
        <f t="shared" si="26"/>
        <v>7.2506291390234114</v>
      </c>
      <c r="AT54" s="91">
        <f t="shared" si="27"/>
        <v>0.24034483006440374</v>
      </c>
      <c r="AU54" s="91">
        <f t="shared" si="28"/>
        <v>0</v>
      </c>
      <c r="AV54" s="91">
        <f t="shared" si="29"/>
        <v>30.846642745017856</v>
      </c>
      <c r="AW54" s="91">
        <f t="shared" si="30"/>
        <v>3.73752423505357</v>
      </c>
      <c r="AX54" s="95">
        <f t="shared" si="31"/>
        <v>190.16</v>
      </c>
      <c r="AY54" s="90">
        <f t="shared" si="32"/>
        <v>2.9294544238463396</v>
      </c>
      <c r="AZ54" s="91">
        <f t="shared" si="33"/>
        <v>488.39549515554648</v>
      </c>
      <c r="BA54" s="91">
        <f t="shared" si="34"/>
        <v>381515.02499570668</v>
      </c>
      <c r="BB54" s="87">
        <f t="shared" si="35"/>
        <v>3815150249.957067</v>
      </c>
      <c r="BC54" s="90">
        <f t="shared" si="36"/>
        <v>3.8151502499570671</v>
      </c>
      <c r="BD54" s="87">
        <f t="shared" si="37"/>
        <v>0.5</v>
      </c>
      <c r="BE54" s="87">
        <f t="shared" si="38"/>
        <v>11.74</v>
      </c>
      <c r="BF54" s="87">
        <f t="shared" si="39"/>
        <v>0.33600000000000002</v>
      </c>
      <c r="BG54" s="90">
        <f t="shared" si="40"/>
        <v>1.8217327638695999</v>
      </c>
      <c r="BH54" s="91">
        <f t="shared" si="41"/>
        <v>0</v>
      </c>
      <c r="BI54" s="91">
        <f t="shared" si="42"/>
        <v>0.82714583906960004</v>
      </c>
      <c r="BJ54" s="91">
        <f t="shared" si="43"/>
        <v>27.109118509964283</v>
      </c>
      <c r="BK54" s="91">
        <f t="shared" si="44"/>
        <v>81.327355529892856</v>
      </c>
      <c r="BL54" s="87">
        <f t="shared" si="45"/>
        <v>0</v>
      </c>
      <c r="BM54" s="87">
        <f t="shared" si="46"/>
        <v>0</v>
      </c>
      <c r="BN54" s="92">
        <f t="shared" si="47"/>
        <v>7</v>
      </c>
      <c r="BO54" s="87">
        <f t="shared" si="48"/>
        <v>190.16</v>
      </c>
      <c r="BP54" s="87">
        <f t="shared" si="49"/>
        <v>574.38563336875552</v>
      </c>
      <c r="BQ54" s="87">
        <f t="shared" si="50"/>
        <v>0</v>
      </c>
      <c r="BR54" s="87">
        <f t="shared" si="51"/>
        <v>1.9015999999999998E-2</v>
      </c>
      <c r="BS54" s="92">
        <f t="shared" si="52"/>
        <v>7.2548897153183578E-2</v>
      </c>
      <c r="BT54" s="87">
        <f t="shared" si="53"/>
        <v>72548.89715318357</v>
      </c>
      <c r="BU54" s="91">
        <f t="shared" si="54"/>
        <v>39.824116133850595</v>
      </c>
      <c r="BV54" s="93">
        <f t="shared" si="55"/>
        <v>54.595654451938749</v>
      </c>
      <c r="BW54" s="93">
        <f t="shared" si="56"/>
        <v>163.78696335581623</v>
      </c>
      <c r="BX54" s="91">
        <f t="shared" si="57"/>
        <v>16.992642433593119</v>
      </c>
      <c r="BY54" s="91">
        <f t="shared" si="58"/>
        <v>3.0937873916375382</v>
      </c>
      <c r="BZ54" s="91">
        <f t="shared" si="59"/>
        <v>0</v>
      </c>
      <c r="CA54" s="91">
        <f t="shared" si="60"/>
        <v>17.292083490035715</v>
      </c>
      <c r="CB54" s="91">
        <f t="shared" si="61"/>
        <v>0</v>
      </c>
      <c r="CC54" s="95">
        <f t="shared" si="62"/>
        <v>285.24</v>
      </c>
      <c r="CD54" s="90">
        <f t="shared" si="63"/>
        <v>2.9294544238463396</v>
      </c>
      <c r="CE54" s="91">
        <f t="shared" si="64"/>
        <v>488.39549515554648</v>
      </c>
      <c r="CF54" s="91">
        <f t="shared" si="65"/>
        <v>381515.02499570668</v>
      </c>
      <c r="CG54" s="87">
        <f t="shared" si="66"/>
        <v>3815150249.957067</v>
      </c>
      <c r="CH54" s="90">
        <f t="shared" si="67"/>
        <v>3.8151502499570671</v>
      </c>
      <c r="CI54" s="87">
        <f t="shared" si="68"/>
        <v>0.5</v>
      </c>
      <c r="CJ54" s="87">
        <f t="shared" si="69"/>
        <v>11.74</v>
      </c>
      <c r="CK54" s="87">
        <f t="shared" si="70"/>
        <v>0.33600000000000002</v>
      </c>
      <c r="CL54" s="90">
        <f t="shared" si="71"/>
        <v>2.7325991458044001</v>
      </c>
      <c r="CM54" s="91">
        <f t="shared" si="72"/>
        <v>0</v>
      </c>
      <c r="CN54" s="91">
        <f t="shared" si="73"/>
        <v>1.7380122210044002</v>
      </c>
      <c r="CO54" s="91">
        <f t="shared" si="74"/>
        <v>40.663677764946428</v>
      </c>
      <c r="CP54" s="91">
        <f t="shared" si="75"/>
        <v>121.99103329483928</v>
      </c>
      <c r="CQ54" s="87">
        <f t="shared" si="76"/>
        <v>0</v>
      </c>
      <c r="CR54" s="87">
        <f t="shared" si="77"/>
        <v>0</v>
      </c>
      <c r="CS54" s="92">
        <f t="shared" si="78"/>
        <v>7</v>
      </c>
      <c r="CT54" s="87">
        <f t="shared" si="79"/>
        <v>285.24</v>
      </c>
      <c r="CU54" s="87">
        <f t="shared" si="80"/>
        <v>574.38563336875552</v>
      </c>
      <c r="CV54" s="87">
        <f t="shared" si="81"/>
        <v>0</v>
      </c>
      <c r="CW54" s="87">
        <f t="shared" si="82"/>
        <v>2.8524000000000001E-2</v>
      </c>
      <c r="CX54" s="92">
        <f t="shared" si="83"/>
        <v>0.10882334572977538</v>
      </c>
      <c r="CY54" s="87">
        <f t="shared" si="84"/>
        <v>108823.34572977538</v>
      </c>
      <c r="CZ54" s="91">
        <f t="shared" si="85"/>
        <v>39.824116133850602</v>
      </c>
      <c r="DA54" s="93">
        <f t="shared" si="86"/>
        <v>36.397102967959164</v>
      </c>
      <c r="DB54" s="93">
        <f t="shared" si="87"/>
        <v>109.1913089038775</v>
      </c>
      <c r="DC54" s="91">
        <f t="shared" si="88"/>
        <v>22.571269929301071</v>
      </c>
      <c r="DD54" s="91">
        <f t="shared" si="89"/>
        <v>7.2506291390234132</v>
      </c>
      <c r="DE54" s="91">
        <f t="shared" si="90"/>
        <v>0</v>
      </c>
      <c r="DF54" s="91">
        <f t="shared" si="91"/>
        <v>3.73752423505357</v>
      </c>
      <c r="DG54" s="91">
        <f t="shared" si="92"/>
        <v>0</v>
      </c>
      <c r="DH54" s="95">
        <f t="shared" si="93"/>
        <v>380.32</v>
      </c>
      <c r="DI54" s="90">
        <f t="shared" si="94"/>
        <v>2.9294544238463396</v>
      </c>
      <c r="DJ54" s="91">
        <f t="shared" si="95"/>
        <v>488.39549515554648</v>
      </c>
      <c r="DK54" s="91">
        <f t="shared" si="96"/>
        <v>381515.02499570668</v>
      </c>
      <c r="DL54" s="87">
        <f t="shared" si="97"/>
        <v>3815150249.957067</v>
      </c>
      <c r="DM54" s="90">
        <f t="shared" si="98"/>
        <v>3.8151502499570671</v>
      </c>
      <c r="DN54" s="87">
        <f t="shared" si="99"/>
        <v>0.5</v>
      </c>
      <c r="DO54" s="87">
        <f t="shared" si="100"/>
        <v>11.74</v>
      </c>
      <c r="DP54" s="87">
        <f t="shared" si="101"/>
        <v>0.33600000000000002</v>
      </c>
      <c r="DQ54" s="90">
        <f t="shared" si="102"/>
        <v>3.6434655277391998</v>
      </c>
      <c r="DR54" s="91">
        <f t="shared" si="103"/>
        <v>0.65970475333919998</v>
      </c>
      <c r="DS54" s="91">
        <f t="shared" si="104"/>
        <v>2.6488786029391997</v>
      </c>
      <c r="DT54" s="91">
        <f t="shared" si="105"/>
        <v>54.218237019928566</v>
      </c>
      <c r="DU54" s="91">
        <f t="shared" si="106"/>
        <v>162.65471105978571</v>
      </c>
      <c r="DV54" s="87">
        <f t="shared" si="107"/>
        <v>0</v>
      </c>
      <c r="DW54" s="87">
        <f t="shared" si="108"/>
        <v>0</v>
      </c>
      <c r="DX54" s="92">
        <f t="shared" si="109"/>
        <v>7</v>
      </c>
      <c r="DY54" s="87">
        <f t="shared" si="110"/>
        <v>380.32</v>
      </c>
      <c r="DZ54" s="87">
        <f t="shared" si="111"/>
        <v>574.38563336875552</v>
      </c>
      <c r="EA54" s="87">
        <f t="shared" si="112"/>
        <v>0.65970475333919998</v>
      </c>
      <c r="EB54" s="87">
        <f t="shared" si="113"/>
        <v>3.8031999999999996E-2</v>
      </c>
      <c r="EC54" s="92">
        <f t="shared" si="114"/>
        <v>0.14509779430636716</v>
      </c>
      <c r="ED54" s="87">
        <f t="shared" si="115"/>
        <v>145097.79430636714</v>
      </c>
      <c r="EE54" s="91">
        <f t="shared" si="116"/>
        <v>39.824116133850595</v>
      </c>
      <c r="EF54" s="93">
        <f t="shared" si="117"/>
        <v>27.297827225969375</v>
      </c>
      <c r="EG54" s="93">
        <f t="shared" si="118"/>
        <v>81.893481677908113</v>
      </c>
      <c r="EH54" s="91">
        <f t="shared" si="119"/>
        <v>26.013784147955292</v>
      </c>
      <c r="EI54" s="91">
        <f t="shared" si="120"/>
        <v>11.099880556925648</v>
      </c>
      <c r="EJ54" s="91">
        <f t="shared" si="121"/>
        <v>7.3226439649012161</v>
      </c>
      <c r="EK54" s="91">
        <f t="shared" si="122"/>
        <v>0</v>
      </c>
      <c r="EL54" s="91">
        <f t="shared" si="123"/>
        <v>0</v>
      </c>
    </row>
    <row r="55" spans="1:142" x14ac:dyDescent="0.4">
      <c r="A55" s="21">
        <v>101</v>
      </c>
      <c r="B55" s="21" t="s">
        <v>94</v>
      </c>
      <c r="C55" s="21">
        <v>56.040238000000002</v>
      </c>
      <c r="D55" s="21">
        <v>620239.6</v>
      </c>
      <c r="E55" s="21">
        <v>6082171</v>
      </c>
      <c r="F55" s="21">
        <v>817.7</v>
      </c>
      <c r="G55" s="21">
        <v>16</v>
      </c>
      <c r="H55" s="21">
        <v>0</v>
      </c>
      <c r="I55" s="21">
        <v>52.95</v>
      </c>
      <c r="J55" s="21">
        <v>0</v>
      </c>
      <c r="K55" s="21">
        <v>100</v>
      </c>
      <c r="L55" s="21">
        <v>3.6</v>
      </c>
      <c r="M55" s="21">
        <v>100</v>
      </c>
      <c r="N55" s="21">
        <v>1</v>
      </c>
      <c r="O55" s="35">
        <v>12</v>
      </c>
      <c r="P55" s="21">
        <v>90</v>
      </c>
      <c r="Q55" s="4">
        <v>781.16</v>
      </c>
      <c r="R55" s="4">
        <v>30.899999619999999</v>
      </c>
      <c r="S55" s="89">
        <f t="shared" si="0"/>
        <v>47.655000000000001</v>
      </c>
      <c r="T55" s="90">
        <f t="shared" si="1"/>
        <v>3.1430387596364455</v>
      </c>
      <c r="U55" s="91">
        <f t="shared" si="2"/>
        <v>506.48395255361049</v>
      </c>
      <c r="V55" s="91">
        <f t="shared" si="3"/>
        <v>395645.00437677838</v>
      </c>
      <c r="W55" s="87">
        <f t="shared" si="4"/>
        <v>3956450043.7677836</v>
      </c>
      <c r="X55" s="90">
        <f t="shared" si="5"/>
        <v>3.9564500437677834</v>
      </c>
      <c r="Y55" s="87">
        <f t="shared" si="6"/>
        <v>0.5</v>
      </c>
      <c r="Z55" s="87">
        <f t="shared" si="7"/>
        <v>11.74</v>
      </c>
      <c r="AA55" s="87">
        <f t="shared" si="8"/>
        <v>0.33600000000000002</v>
      </c>
      <c r="AB55" s="90">
        <f t="shared" si="9"/>
        <v>0.45653489094555005</v>
      </c>
      <c r="AC55" s="91">
        <f t="shared" si="10"/>
        <v>0</v>
      </c>
      <c r="AD55" s="91">
        <f t="shared" si="11"/>
        <v>0</v>
      </c>
      <c r="AE55" s="91">
        <f t="shared" si="12"/>
        <v>6.7936739724040178</v>
      </c>
      <c r="AF55" s="91">
        <f t="shared" si="13"/>
        <v>20.381021917212053</v>
      </c>
      <c r="AG55" s="87">
        <f t="shared" si="14"/>
        <v>0</v>
      </c>
      <c r="AH55" s="87">
        <f t="shared" si="15"/>
        <v>1</v>
      </c>
      <c r="AI55" s="92">
        <f t="shared" si="16"/>
        <v>12</v>
      </c>
      <c r="AJ55" s="87">
        <f t="shared" si="17"/>
        <v>47.655000000000001</v>
      </c>
      <c r="AK55" s="87">
        <f t="shared" si="18"/>
        <v>336.68140413208914</v>
      </c>
      <c r="AL55" s="87">
        <f t="shared" si="19"/>
        <v>0</v>
      </c>
      <c r="AM55" s="87">
        <f t="shared" si="20"/>
        <v>4.7654999999999998E-3</v>
      </c>
      <c r="AN55" s="92">
        <f t="shared" si="21"/>
        <v>1.8854462683575372E-2</v>
      </c>
      <c r="AO55" s="87">
        <f t="shared" si="22"/>
        <v>18854.462683575373</v>
      </c>
      <c r="AP55" s="91">
        <f t="shared" si="23"/>
        <v>41.299061818747397</v>
      </c>
      <c r="AQ55" s="93">
        <f t="shared" si="24"/>
        <v>274.96284645409884</v>
      </c>
      <c r="AR55" s="93">
        <f t="shared" si="25"/>
        <v>824.88853936229646</v>
      </c>
      <c r="AS55" s="91">
        <f t="shared" si="26"/>
        <v>0.56632870343581854</v>
      </c>
      <c r="AT55" s="91">
        <f t="shared" si="27"/>
        <v>1.0649405131244931E-4</v>
      </c>
      <c r="AU55" s="91">
        <f t="shared" si="28"/>
        <v>0</v>
      </c>
      <c r="AV55" s="91">
        <f t="shared" si="29"/>
        <v>49.246564027595987</v>
      </c>
      <c r="AW55" s="91">
        <f t="shared" si="30"/>
        <v>35.65921608278795</v>
      </c>
      <c r="AX55" s="95">
        <f t="shared" si="31"/>
        <v>95.31</v>
      </c>
      <c r="AY55" s="90">
        <f t="shared" si="32"/>
        <v>3.1430387596364455</v>
      </c>
      <c r="AZ55" s="91">
        <f t="shared" si="33"/>
        <v>506.48395255361049</v>
      </c>
      <c r="BA55" s="91">
        <f t="shared" si="34"/>
        <v>395645.00437677838</v>
      </c>
      <c r="BB55" s="87">
        <f t="shared" si="35"/>
        <v>3956450043.7677836</v>
      </c>
      <c r="BC55" s="90">
        <f t="shared" si="36"/>
        <v>3.9564500437677834</v>
      </c>
      <c r="BD55" s="87">
        <f t="shared" si="37"/>
        <v>0.5</v>
      </c>
      <c r="BE55" s="87">
        <f t="shared" si="38"/>
        <v>11.74</v>
      </c>
      <c r="BF55" s="87">
        <f t="shared" si="39"/>
        <v>0.33600000000000002</v>
      </c>
      <c r="BG55" s="90">
        <f t="shared" si="40"/>
        <v>0.91306978189110011</v>
      </c>
      <c r="BH55" s="91">
        <f t="shared" si="41"/>
        <v>0</v>
      </c>
      <c r="BI55" s="91">
        <f t="shared" si="42"/>
        <v>0</v>
      </c>
      <c r="BJ55" s="91">
        <f t="shared" si="43"/>
        <v>13.587347944808036</v>
      </c>
      <c r="BK55" s="91">
        <f t="shared" si="44"/>
        <v>40.762043834424105</v>
      </c>
      <c r="BL55" s="87">
        <f t="shared" si="45"/>
        <v>0</v>
      </c>
      <c r="BM55" s="87">
        <f t="shared" si="46"/>
        <v>1</v>
      </c>
      <c r="BN55" s="92">
        <f t="shared" si="47"/>
        <v>12</v>
      </c>
      <c r="BO55" s="87">
        <f t="shared" si="48"/>
        <v>95.31</v>
      </c>
      <c r="BP55" s="87">
        <f t="shared" si="49"/>
        <v>336.68140413208914</v>
      </c>
      <c r="BQ55" s="87">
        <f t="shared" si="50"/>
        <v>0</v>
      </c>
      <c r="BR55" s="87">
        <f t="shared" si="51"/>
        <v>9.5309999999999995E-3</v>
      </c>
      <c r="BS55" s="92">
        <f t="shared" si="52"/>
        <v>3.7708925367150745E-2</v>
      </c>
      <c r="BT55" s="87">
        <f t="shared" si="53"/>
        <v>37708.925367150747</v>
      </c>
      <c r="BU55" s="91">
        <f t="shared" si="54"/>
        <v>41.299061818747397</v>
      </c>
      <c r="BV55" s="93">
        <f t="shared" si="55"/>
        <v>137.48142322704942</v>
      </c>
      <c r="BW55" s="93">
        <f t="shared" si="56"/>
        <v>412.44426968114823</v>
      </c>
      <c r="BX55" s="91">
        <f t="shared" si="57"/>
        <v>4.8362014156698363</v>
      </c>
      <c r="BY55" s="91">
        <f t="shared" si="58"/>
        <v>6.6318205709154268E-2</v>
      </c>
      <c r="BZ55" s="91">
        <f t="shared" si="59"/>
        <v>0</v>
      </c>
      <c r="CA55" s="91">
        <f t="shared" si="60"/>
        <v>42.452890055191965</v>
      </c>
      <c r="CB55" s="91">
        <f t="shared" si="61"/>
        <v>15.278194165575897</v>
      </c>
      <c r="CC55" s="95">
        <f t="shared" si="62"/>
        <v>142.965</v>
      </c>
      <c r="CD55" s="90">
        <f t="shared" si="63"/>
        <v>3.1430387596364455</v>
      </c>
      <c r="CE55" s="91">
        <f t="shared" si="64"/>
        <v>506.48395255361049</v>
      </c>
      <c r="CF55" s="91">
        <f t="shared" si="65"/>
        <v>395645.00437677838</v>
      </c>
      <c r="CG55" s="87">
        <f t="shared" si="66"/>
        <v>3956450043.7677836</v>
      </c>
      <c r="CH55" s="90">
        <f t="shared" si="67"/>
        <v>3.9564500437677834</v>
      </c>
      <c r="CI55" s="87">
        <f t="shared" si="68"/>
        <v>0.5</v>
      </c>
      <c r="CJ55" s="87">
        <f t="shared" si="69"/>
        <v>11.74</v>
      </c>
      <c r="CK55" s="87">
        <f t="shared" si="70"/>
        <v>0.33600000000000002</v>
      </c>
      <c r="CL55" s="90">
        <f t="shared" si="71"/>
        <v>1.36960467283665</v>
      </c>
      <c r="CM55" s="91">
        <f t="shared" si="72"/>
        <v>0</v>
      </c>
      <c r="CN55" s="91">
        <f t="shared" si="73"/>
        <v>0.1143033416366499</v>
      </c>
      <c r="CO55" s="91">
        <f t="shared" si="74"/>
        <v>20.381021917212053</v>
      </c>
      <c r="CP55" s="91">
        <f t="shared" si="75"/>
        <v>61.143065751636158</v>
      </c>
      <c r="CQ55" s="87">
        <f t="shared" si="76"/>
        <v>0</v>
      </c>
      <c r="CR55" s="87">
        <f t="shared" si="77"/>
        <v>1</v>
      </c>
      <c r="CS55" s="92">
        <f t="shared" si="78"/>
        <v>12</v>
      </c>
      <c r="CT55" s="87">
        <f t="shared" si="79"/>
        <v>142.965</v>
      </c>
      <c r="CU55" s="87">
        <f t="shared" si="80"/>
        <v>336.68140413208914</v>
      </c>
      <c r="CV55" s="87">
        <f t="shared" si="81"/>
        <v>0.1143033416366499</v>
      </c>
      <c r="CW55" s="87">
        <f t="shared" si="82"/>
        <v>1.42965E-2</v>
      </c>
      <c r="CX55" s="92">
        <f t="shared" si="83"/>
        <v>5.6563388050726117E-2</v>
      </c>
      <c r="CY55" s="87">
        <f t="shared" si="84"/>
        <v>56563.38805072612</v>
      </c>
      <c r="CZ55" s="91">
        <f t="shared" si="85"/>
        <v>41.299061818747404</v>
      </c>
      <c r="DA55" s="93">
        <f t="shared" si="86"/>
        <v>91.654282151366274</v>
      </c>
      <c r="DB55" s="93">
        <f t="shared" si="87"/>
        <v>274.96284645409884</v>
      </c>
      <c r="DC55" s="91">
        <f t="shared" si="88"/>
        <v>9.885143583356367</v>
      </c>
      <c r="DD55" s="91">
        <f t="shared" si="89"/>
        <v>0.56632870343581865</v>
      </c>
      <c r="DE55" s="91">
        <f t="shared" si="90"/>
        <v>1.1299049441357205</v>
      </c>
      <c r="DF55" s="91">
        <f t="shared" si="91"/>
        <v>35.65921608278795</v>
      </c>
      <c r="DG55" s="91">
        <f t="shared" si="92"/>
        <v>0</v>
      </c>
      <c r="DH55" s="95">
        <f t="shared" si="93"/>
        <v>190.62</v>
      </c>
      <c r="DI55" s="90">
        <f t="shared" si="94"/>
        <v>3.1430387596364455</v>
      </c>
      <c r="DJ55" s="91">
        <f t="shared" si="95"/>
        <v>506.48395255361049</v>
      </c>
      <c r="DK55" s="91">
        <f t="shared" si="96"/>
        <v>395645.00437677838</v>
      </c>
      <c r="DL55" s="87">
        <f t="shared" si="97"/>
        <v>3956450043.7677836</v>
      </c>
      <c r="DM55" s="90">
        <f t="shared" si="98"/>
        <v>3.9564500437677834</v>
      </c>
      <c r="DN55" s="87">
        <f t="shared" si="99"/>
        <v>0.5</v>
      </c>
      <c r="DO55" s="87">
        <f t="shared" si="100"/>
        <v>11.74</v>
      </c>
      <c r="DP55" s="87">
        <f t="shared" si="101"/>
        <v>0.33600000000000002</v>
      </c>
      <c r="DQ55" s="90">
        <f t="shared" si="102"/>
        <v>1.8261395637822002</v>
      </c>
      <c r="DR55" s="91">
        <f t="shared" si="103"/>
        <v>0</v>
      </c>
      <c r="DS55" s="91">
        <f t="shared" si="104"/>
        <v>0.57083823258220001</v>
      </c>
      <c r="DT55" s="91">
        <f t="shared" si="105"/>
        <v>27.174695889616071</v>
      </c>
      <c r="DU55" s="91">
        <f t="shared" si="106"/>
        <v>81.52408766884821</v>
      </c>
      <c r="DV55" s="87">
        <f t="shared" si="107"/>
        <v>0</v>
      </c>
      <c r="DW55" s="87">
        <f t="shared" si="108"/>
        <v>1</v>
      </c>
      <c r="DX55" s="92">
        <f t="shared" si="109"/>
        <v>12</v>
      </c>
      <c r="DY55" s="87">
        <f t="shared" si="110"/>
        <v>190.62</v>
      </c>
      <c r="DZ55" s="87">
        <f t="shared" si="111"/>
        <v>336.68140413208914</v>
      </c>
      <c r="EA55" s="87">
        <f t="shared" si="112"/>
        <v>0.57083823258220001</v>
      </c>
      <c r="EB55" s="87">
        <f t="shared" si="113"/>
        <v>1.9061999999999999E-2</v>
      </c>
      <c r="EC55" s="92">
        <f t="shared" si="114"/>
        <v>7.5417850734301489E-2</v>
      </c>
      <c r="ED55" s="87">
        <f t="shared" si="115"/>
        <v>75417.850734301494</v>
      </c>
      <c r="EE55" s="91">
        <f t="shared" si="116"/>
        <v>41.299061818747397</v>
      </c>
      <c r="EF55" s="93">
        <f t="shared" si="117"/>
        <v>68.740711613524709</v>
      </c>
      <c r="EG55" s="93">
        <f t="shared" si="118"/>
        <v>206.22213484057411</v>
      </c>
      <c r="EH55" s="91">
        <f t="shared" si="119"/>
        <v>14.132607021836497</v>
      </c>
      <c r="EI55" s="91">
        <f t="shared" si="120"/>
        <v>1.6549560952758742</v>
      </c>
      <c r="EJ55" s="91">
        <f t="shared" si="121"/>
        <v>8.0674324141239353</v>
      </c>
      <c r="EK55" s="91">
        <f t="shared" si="122"/>
        <v>28.865542110383931</v>
      </c>
      <c r="EL55" s="91">
        <f t="shared" si="123"/>
        <v>0</v>
      </c>
    </row>
    <row r="56" spans="1:142" x14ac:dyDescent="0.4">
      <c r="A56" s="21">
        <v>100</v>
      </c>
      <c r="B56" s="21" t="s">
        <v>94</v>
      </c>
      <c r="C56" s="21">
        <v>112.282453</v>
      </c>
      <c r="D56" s="21">
        <v>620213.9</v>
      </c>
      <c r="E56" s="21">
        <v>6082124.7000000002</v>
      </c>
      <c r="F56" s="21">
        <v>828.2</v>
      </c>
      <c r="G56" s="21">
        <v>14</v>
      </c>
      <c r="H56" s="21">
        <v>0</v>
      </c>
      <c r="I56" s="21">
        <v>57.7</v>
      </c>
      <c r="J56" s="21">
        <v>0</v>
      </c>
      <c r="K56" s="21">
        <v>100</v>
      </c>
      <c r="L56" s="21">
        <v>3.5</v>
      </c>
      <c r="M56" s="21">
        <v>100</v>
      </c>
      <c r="N56" s="21">
        <v>1</v>
      </c>
      <c r="O56" s="35">
        <v>5</v>
      </c>
      <c r="P56" s="21">
        <v>90</v>
      </c>
      <c r="Q56" s="4">
        <v>781.16</v>
      </c>
      <c r="R56" s="4">
        <v>30.899999619999999</v>
      </c>
      <c r="S56" s="89">
        <f t="shared" si="0"/>
        <v>50.487500000000004</v>
      </c>
      <c r="T56" s="90">
        <f t="shared" si="1"/>
        <v>2.9294544238463396</v>
      </c>
      <c r="U56" s="91">
        <f t="shared" si="2"/>
        <v>488.39549515554648</v>
      </c>
      <c r="V56" s="91">
        <f t="shared" si="3"/>
        <v>381515.02499570668</v>
      </c>
      <c r="W56" s="87">
        <f t="shared" si="4"/>
        <v>3815150249.957067</v>
      </c>
      <c r="X56" s="90">
        <f t="shared" si="5"/>
        <v>3.8151502499570671</v>
      </c>
      <c r="Y56" s="87">
        <f t="shared" si="6"/>
        <v>0.5</v>
      </c>
      <c r="Z56" s="87">
        <f t="shared" si="7"/>
        <v>11.74</v>
      </c>
      <c r="AA56" s="87">
        <f t="shared" si="8"/>
        <v>0.33600000000000002</v>
      </c>
      <c r="AB56" s="90">
        <f t="shared" si="9"/>
        <v>0.48367024040737505</v>
      </c>
      <c r="AC56" s="91">
        <f t="shared" si="10"/>
        <v>0</v>
      </c>
      <c r="AD56" s="91">
        <f t="shared" si="11"/>
        <v>0</v>
      </c>
      <c r="AE56" s="91">
        <f t="shared" si="12"/>
        <v>7.1974738155859379</v>
      </c>
      <c r="AF56" s="91">
        <f t="shared" si="13"/>
        <v>21.592421446757815</v>
      </c>
      <c r="AG56" s="87">
        <f t="shared" si="14"/>
        <v>0</v>
      </c>
      <c r="AH56" s="87">
        <f t="shared" si="15"/>
        <v>1</v>
      </c>
      <c r="AI56" s="92">
        <f t="shared" si="16"/>
        <v>5</v>
      </c>
      <c r="AJ56" s="87">
        <f t="shared" si="17"/>
        <v>50.487500000000004</v>
      </c>
      <c r="AK56" s="87">
        <f t="shared" si="18"/>
        <v>803.15992719688995</v>
      </c>
      <c r="AL56" s="87">
        <f t="shared" si="19"/>
        <v>0</v>
      </c>
      <c r="AM56" s="87">
        <f t="shared" si="20"/>
        <v>5.0487500000000003E-3</v>
      </c>
      <c r="AN56" s="92">
        <f t="shared" si="21"/>
        <v>1.9261739824470745E-2</v>
      </c>
      <c r="AO56" s="87">
        <f t="shared" si="22"/>
        <v>19261.739824470744</v>
      </c>
      <c r="AP56" s="91">
        <f t="shared" si="23"/>
        <v>39.824116133850602</v>
      </c>
      <c r="AQ56" s="93">
        <f t="shared" si="24"/>
        <v>520.0086209731686</v>
      </c>
      <c r="AR56" s="93">
        <f t="shared" si="25"/>
        <v>1560.0258629195057</v>
      </c>
      <c r="AS56" s="91">
        <f t="shared" si="26"/>
        <v>1.1942380424133783E-2</v>
      </c>
      <c r="AT56" s="91">
        <f t="shared" si="27"/>
        <v>1.0739409757782769E-9</v>
      </c>
      <c r="AU56" s="91">
        <f t="shared" si="28"/>
        <v>0</v>
      </c>
      <c r="AV56" s="91">
        <f t="shared" si="29"/>
        <v>105.08497918441407</v>
      </c>
      <c r="AW56" s="91">
        <f t="shared" si="30"/>
        <v>90.690031553242193</v>
      </c>
      <c r="AX56" s="95">
        <f t="shared" si="31"/>
        <v>100.97500000000001</v>
      </c>
      <c r="AY56" s="90">
        <f t="shared" si="32"/>
        <v>2.9294544238463396</v>
      </c>
      <c r="AZ56" s="91">
        <f t="shared" si="33"/>
        <v>488.39549515554648</v>
      </c>
      <c r="BA56" s="91">
        <f t="shared" si="34"/>
        <v>381515.02499570668</v>
      </c>
      <c r="BB56" s="87">
        <f t="shared" si="35"/>
        <v>3815150249.957067</v>
      </c>
      <c r="BC56" s="90">
        <f t="shared" si="36"/>
        <v>3.8151502499570671</v>
      </c>
      <c r="BD56" s="87">
        <f t="shared" si="37"/>
        <v>0.5</v>
      </c>
      <c r="BE56" s="87">
        <f t="shared" si="38"/>
        <v>11.74</v>
      </c>
      <c r="BF56" s="87">
        <f t="shared" si="39"/>
        <v>0.33600000000000002</v>
      </c>
      <c r="BG56" s="90">
        <f t="shared" si="40"/>
        <v>0.9673404808147501</v>
      </c>
      <c r="BH56" s="91">
        <f t="shared" si="41"/>
        <v>0</v>
      </c>
      <c r="BI56" s="91">
        <f t="shared" si="42"/>
        <v>0</v>
      </c>
      <c r="BJ56" s="91">
        <f t="shared" si="43"/>
        <v>14.394947631171876</v>
      </c>
      <c r="BK56" s="91">
        <f t="shared" si="44"/>
        <v>43.184842893515629</v>
      </c>
      <c r="BL56" s="87">
        <f t="shared" si="45"/>
        <v>0</v>
      </c>
      <c r="BM56" s="87">
        <f t="shared" si="46"/>
        <v>1</v>
      </c>
      <c r="BN56" s="92">
        <f t="shared" si="47"/>
        <v>5</v>
      </c>
      <c r="BO56" s="87">
        <f t="shared" si="48"/>
        <v>100.97500000000001</v>
      </c>
      <c r="BP56" s="87">
        <f t="shared" si="49"/>
        <v>803.15992719688995</v>
      </c>
      <c r="BQ56" s="87">
        <f t="shared" si="50"/>
        <v>0</v>
      </c>
      <c r="BR56" s="87">
        <f t="shared" si="51"/>
        <v>1.0097500000000001E-2</v>
      </c>
      <c r="BS56" s="92">
        <f t="shared" si="52"/>
        <v>3.852347964894149E-2</v>
      </c>
      <c r="BT56" s="87">
        <f t="shared" si="53"/>
        <v>38523.479648941488</v>
      </c>
      <c r="BU56" s="91">
        <f t="shared" si="54"/>
        <v>39.824116133850602</v>
      </c>
      <c r="BV56" s="93">
        <f t="shared" si="55"/>
        <v>260.0043104865843</v>
      </c>
      <c r="BW56" s="93">
        <f t="shared" si="56"/>
        <v>780.01293145975285</v>
      </c>
      <c r="BX56" s="91">
        <f t="shared" si="57"/>
        <v>0.68963377594584774</v>
      </c>
      <c r="BY56" s="91">
        <f t="shared" si="58"/>
        <v>2.0680606891552999E-4</v>
      </c>
      <c r="BZ56" s="91">
        <f t="shared" si="59"/>
        <v>0</v>
      </c>
      <c r="CA56" s="91">
        <f t="shared" si="60"/>
        <v>97.88750536882813</v>
      </c>
      <c r="CB56" s="91">
        <f t="shared" si="61"/>
        <v>69.097610106484382</v>
      </c>
      <c r="CC56" s="95">
        <f t="shared" si="62"/>
        <v>151.46250000000001</v>
      </c>
      <c r="CD56" s="90">
        <f t="shared" si="63"/>
        <v>2.9294544238463396</v>
      </c>
      <c r="CE56" s="91">
        <f t="shared" si="64"/>
        <v>488.39549515554648</v>
      </c>
      <c r="CF56" s="91">
        <f t="shared" si="65"/>
        <v>381515.02499570668</v>
      </c>
      <c r="CG56" s="87">
        <f t="shared" si="66"/>
        <v>3815150249.957067</v>
      </c>
      <c r="CH56" s="90">
        <f t="shared" si="67"/>
        <v>3.8151502499570671</v>
      </c>
      <c r="CI56" s="87">
        <f t="shared" si="68"/>
        <v>0.5</v>
      </c>
      <c r="CJ56" s="87">
        <f t="shared" si="69"/>
        <v>11.74</v>
      </c>
      <c r="CK56" s="87">
        <f t="shared" si="70"/>
        <v>0.33600000000000002</v>
      </c>
      <c r="CL56" s="90">
        <f t="shared" si="71"/>
        <v>1.451010721222125</v>
      </c>
      <c r="CM56" s="91">
        <f t="shared" si="72"/>
        <v>0</v>
      </c>
      <c r="CN56" s="91">
        <f t="shared" si="73"/>
        <v>0</v>
      </c>
      <c r="CO56" s="91">
        <f t="shared" si="74"/>
        <v>21.592421446757811</v>
      </c>
      <c r="CP56" s="91">
        <f t="shared" si="75"/>
        <v>64.777264340273433</v>
      </c>
      <c r="CQ56" s="87">
        <f t="shared" si="76"/>
        <v>0</v>
      </c>
      <c r="CR56" s="87">
        <f t="shared" si="77"/>
        <v>1</v>
      </c>
      <c r="CS56" s="92">
        <f t="shared" si="78"/>
        <v>5</v>
      </c>
      <c r="CT56" s="87">
        <f t="shared" si="79"/>
        <v>151.46250000000001</v>
      </c>
      <c r="CU56" s="87">
        <f t="shared" si="80"/>
        <v>803.15992719688995</v>
      </c>
      <c r="CV56" s="87">
        <f t="shared" si="81"/>
        <v>0</v>
      </c>
      <c r="CW56" s="87">
        <f t="shared" si="82"/>
        <v>1.514625E-2</v>
      </c>
      <c r="CX56" s="92">
        <f t="shared" si="83"/>
        <v>5.7785219473412225E-2</v>
      </c>
      <c r="CY56" s="87">
        <f t="shared" si="84"/>
        <v>57785.219473412224</v>
      </c>
      <c r="CZ56" s="91">
        <f t="shared" si="85"/>
        <v>39.824116133850595</v>
      </c>
      <c r="DA56" s="93">
        <f t="shared" si="86"/>
        <v>173.3362069910562</v>
      </c>
      <c r="DB56" s="93">
        <f t="shared" si="87"/>
        <v>520.00862097316872</v>
      </c>
      <c r="DC56" s="91">
        <f t="shared" si="88"/>
        <v>2.6655964274255073</v>
      </c>
      <c r="DD56" s="91">
        <f t="shared" si="89"/>
        <v>1.1942380424133758E-2</v>
      </c>
      <c r="DE56" s="91">
        <f t="shared" si="90"/>
        <v>0</v>
      </c>
      <c r="DF56" s="91">
        <f t="shared" si="91"/>
        <v>90.690031553242193</v>
      </c>
      <c r="DG56" s="91">
        <f t="shared" si="92"/>
        <v>47.505188659726571</v>
      </c>
      <c r="DH56" s="95">
        <f t="shared" si="93"/>
        <v>201.95000000000002</v>
      </c>
      <c r="DI56" s="90">
        <f t="shared" si="94"/>
        <v>2.9294544238463396</v>
      </c>
      <c r="DJ56" s="91">
        <f t="shared" si="95"/>
        <v>488.39549515554648</v>
      </c>
      <c r="DK56" s="91">
        <f t="shared" si="96"/>
        <v>381515.02499570668</v>
      </c>
      <c r="DL56" s="87">
        <f t="shared" si="97"/>
        <v>3815150249.957067</v>
      </c>
      <c r="DM56" s="90">
        <f t="shared" si="98"/>
        <v>3.8151502499570671</v>
      </c>
      <c r="DN56" s="87">
        <f t="shared" si="99"/>
        <v>0.5</v>
      </c>
      <c r="DO56" s="87">
        <f t="shared" si="100"/>
        <v>11.74</v>
      </c>
      <c r="DP56" s="87">
        <f t="shared" si="101"/>
        <v>0.33600000000000002</v>
      </c>
      <c r="DQ56" s="90">
        <f t="shared" si="102"/>
        <v>1.9346809616295002</v>
      </c>
      <c r="DR56" s="91">
        <f t="shared" si="103"/>
        <v>0</v>
      </c>
      <c r="DS56" s="91">
        <f t="shared" si="104"/>
        <v>0</v>
      </c>
      <c r="DT56" s="91">
        <f t="shared" si="105"/>
        <v>28.789895262343752</v>
      </c>
      <c r="DU56" s="91">
        <f t="shared" si="106"/>
        <v>86.369685787031258</v>
      </c>
      <c r="DV56" s="87">
        <f t="shared" si="107"/>
        <v>0</v>
      </c>
      <c r="DW56" s="87">
        <f t="shared" si="108"/>
        <v>1</v>
      </c>
      <c r="DX56" s="92">
        <f t="shared" si="109"/>
        <v>5</v>
      </c>
      <c r="DY56" s="87">
        <f t="shared" si="110"/>
        <v>201.95000000000002</v>
      </c>
      <c r="DZ56" s="87">
        <f t="shared" si="111"/>
        <v>803.15992719688995</v>
      </c>
      <c r="EA56" s="87">
        <f t="shared" si="112"/>
        <v>0</v>
      </c>
      <c r="EB56" s="87">
        <f t="shared" si="113"/>
        <v>2.0195000000000001E-2</v>
      </c>
      <c r="EC56" s="92">
        <f t="shared" si="114"/>
        <v>7.704695929788298E-2</v>
      </c>
      <c r="ED56" s="87">
        <f t="shared" si="115"/>
        <v>77046.959297882975</v>
      </c>
      <c r="EE56" s="91">
        <f t="shared" si="116"/>
        <v>39.824116133850602</v>
      </c>
      <c r="EF56" s="93">
        <f t="shared" si="117"/>
        <v>130.00215524329215</v>
      </c>
      <c r="EG56" s="93">
        <f t="shared" si="118"/>
        <v>390.00646572987642</v>
      </c>
      <c r="EH56" s="91">
        <f t="shared" si="119"/>
        <v>5.2406159545508908</v>
      </c>
      <c r="EI56" s="91">
        <f t="shared" si="120"/>
        <v>9.0751688169847161E-2</v>
      </c>
      <c r="EJ56" s="91">
        <f t="shared" si="121"/>
        <v>0</v>
      </c>
      <c r="EK56" s="91">
        <f t="shared" si="122"/>
        <v>83.492557737656256</v>
      </c>
      <c r="EL56" s="91">
        <f t="shared" si="123"/>
        <v>25.912767212968745</v>
      </c>
    </row>
    <row r="57" spans="1:142" x14ac:dyDescent="0.4">
      <c r="A57" s="21">
        <v>91</v>
      </c>
      <c r="B57" s="21" t="s">
        <v>94</v>
      </c>
      <c r="C57" s="21">
        <v>61.332389999999997</v>
      </c>
      <c r="D57" s="21">
        <v>619988.69999999995</v>
      </c>
      <c r="E57" s="21">
        <v>6082088.5</v>
      </c>
      <c r="F57" s="21">
        <v>828.3</v>
      </c>
      <c r="G57" s="21">
        <v>2</v>
      </c>
      <c r="H57" s="21">
        <v>0</v>
      </c>
      <c r="I57" s="21">
        <v>19.29</v>
      </c>
      <c r="J57" s="21">
        <v>0</v>
      </c>
      <c r="K57" s="21">
        <v>100</v>
      </c>
      <c r="L57" s="21">
        <v>3.1</v>
      </c>
      <c r="M57" s="21">
        <v>100</v>
      </c>
      <c r="N57" s="21">
        <v>0</v>
      </c>
      <c r="O57" s="35">
        <v>13</v>
      </c>
      <c r="P57" s="21">
        <v>90</v>
      </c>
      <c r="Q57" s="4">
        <v>781.16</v>
      </c>
      <c r="R57" s="4">
        <v>30.899999619999999</v>
      </c>
      <c r="S57" s="89">
        <f t="shared" si="0"/>
        <v>14.94975</v>
      </c>
      <c r="T57" s="90">
        <f t="shared" si="1"/>
        <v>1.6018257472049382</v>
      </c>
      <c r="U57" s="91">
        <f t="shared" si="2"/>
        <v>375.95862253078622</v>
      </c>
      <c r="V57" s="91">
        <f t="shared" si="3"/>
        <v>293683.83757614897</v>
      </c>
      <c r="W57" s="87">
        <f t="shared" si="4"/>
        <v>2936838375.7614899</v>
      </c>
      <c r="X57" s="90">
        <f t="shared" si="5"/>
        <v>2.9368383757614898</v>
      </c>
      <c r="Y57" s="87">
        <f t="shared" si="6"/>
        <v>0.5</v>
      </c>
      <c r="Z57" s="87">
        <f t="shared" si="7"/>
        <v>11.74</v>
      </c>
      <c r="AA57" s="87">
        <f t="shared" si="8"/>
        <v>0.33600000000000002</v>
      </c>
      <c r="AB57" s="90">
        <f t="shared" si="9"/>
        <v>0.14321860215954751</v>
      </c>
      <c r="AC57" s="91">
        <f t="shared" si="10"/>
        <v>0</v>
      </c>
      <c r="AD57" s="91">
        <f t="shared" si="11"/>
        <v>0</v>
      </c>
      <c r="AE57" s="91">
        <f t="shared" si="12"/>
        <v>2.13122919880279</v>
      </c>
      <c r="AF57" s="91">
        <f t="shared" si="13"/>
        <v>6.3936875964083697</v>
      </c>
      <c r="AG57" s="87">
        <f t="shared" si="14"/>
        <v>0</v>
      </c>
      <c r="AH57" s="87">
        <f t="shared" si="15"/>
        <v>0</v>
      </c>
      <c r="AI57" s="92">
        <f t="shared" si="16"/>
        <v>13</v>
      </c>
      <c r="AJ57" s="87">
        <f t="shared" si="17"/>
        <v>14.94975</v>
      </c>
      <c r="AK57" s="87">
        <f t="shared" si="18"/>
        <v>311.17880378100608</v>
      </c>
      <c r="AL57" s="87">
        <f t="shared" si="19"/>
        <v>0</v>
      </c>
      <c r="AM57" s="87">
        <f t="shared" si="20"/>
        <v>1.4949749999999999E-3</v>
      </c>
      <c r="AN57" s="92">
        <f t="shared" si="21"/>
        <v>4.3904999508040327E-3</v>
      </c>
      <c r="AO57" s="87">
        <f t="shared" si="22"/>
        <v>4390.4999508040328</v>
      </c>
      <c r="AP57" s="91">
        <f t="shared" si="23"/>
        <v>30.655933549141576</v>
      </c>
      <c r="AQ57" s="93">
        <f t="shared" si="24"/>
        <v>959.26472908143387</v>
      </c>
      <c r="AR57" s="93">
        <f t="shared" si="25"/>
        <v>2877.7941872443021</v>
      </c>
      <c r="AS57" s="91">
        <f t="shared" si="26"/>
        <v>9.7163207043196865E-6</v>
      </c>
      <c r="AT57" s="91">
        <f t="shared" si="27"/>
        <v>9.7605981072907855E-19</v>
      </c>
      <c r="AU57" s="91">
        <f t="shared" si="28"/>
        <v>0</v>
      </c>
      <c r="AV57" s="91">
        <f t="shared" si="29"/>
        <v>59.201160801197204</v>
      </c>
      <c r="AW57" s="91">
        <f t="shared" si="30"/>
        <v>54.938702403591627</v>
      </c>
      <c r="AX57" s="95">
        <f t="shared" si="31"/>
        <v>29.8995</v>
      </c>
      <c r="AY57" s="90">
        <f t="shared" si="32"/>
        <v>1.6018257472049382</v>
      </c>
      <c r="AZ57" s="91">
        <f t="shared" si="33"/>
        <v>375.95862253078622</v>
      </c>
      <c r="BA57" s="91">
        <f t="shared" si="34"/>
        <v>293683.83757614897</v>
      </c>
      <c r="BB57" s="87">
        <f t="shared" si="35"/>
        <v>2936838375.7614899</v>
      </c>
      <c r="BC57" s="90">
        <f t="shared" si="36"/>
        <v>2.9368383757614898</v>
      </c>
      <c r="BD57" s="87">
        <f t="shared" si="37"/>
        <v>0.5</v>
      </c>
      <c r="BE57" s="87">
        <f t="shared" si="38"/>
        <v>11.74</v>
      </c>
      <c r="BF57" s="87">
        <f t="shared" si="39"/>
        <v>0.33600000000000002</v>
      </c>
      <c r="BG57" s="90">
        <f t="shared" si="40"/>
        <v>0.28643720431909503</v>
      </c>
      <c r="BH57" s="91">
        <f t="shared" si="41"/>
        <v>0</v>
      </c>
      <c r="BI57" s="91">
        <f t="shared" si="42"/>
        <v>0</v>
      </c>
      <c r="BJ57" s="91">
        <f t="shared" si="43"/>
        <v>4.2624583976055801</v>
      </c>
      <c r="BK57" s="91">
        <f t="shared" si="44"/>
        <v>12.787375192816739</v>
      </c>
      <c r="BL57" s="87">
        <f t="shared" si="45"/>
        <v>0</v>
      </c>
      <c r="BM57" s="87">
        <f t="shared" si="46"/>
        <v>0</v>
      </c>
      <c r="BN57" s="92">
        <f t="shared" si="47"/>
        <v>13</v>
      </c>
      <c r="BO57" s="87">
        <f t="shared" si="48"/>
        <v>29.8995</v>
      </c>
      <c r="BP57" s="87">
        <f t="shared" si="49"/>
        <v>311.17880378100608</v>
      </c>
      <c r="BQ57" s="87">
        <f t="shared" si="50"/>
        <v>0</v>
      </c>
      <c r="BR57" s="87">
        <f t="shared" si="51"/>
        <v>2.9899499999999999E-3</v>
      </c>
      <c r="BS57" s="92">
        <f t="shared" si="52"/>
        <v>8.7809999016080654E-3</v>
      </c>
      <c r="BT57" s="87">
        <f t="shared" si="53"/>
        <v>8780.9999016080656</v>
      </c>
      <c r="BU57" s="91">
        <f t="shared" si="54"/>
        <v>30.655933549141576</v>
      </c>
      <c r="BV57" s="93">
        <f t="shared" si="55"/>
        <v>479.63236454071694</v>
      </c>
      <c r="BW57" s="93">
        <f t="shared" si="56"/>
        <v>1438.897093622151</v>
      </c>
      <c r="BX57" s="91">
        <f t="shared" si="57"/>
        <v>1.7258704524203802E-2</v>
      </c>
      <c r="BY57" s="91">
        <f t="shared" si="58"/>
        <v>5.4701028050392555E-9</v>
      </c>
      <c r="BZ57" s="91">
        <f t="shared" si="59"/>
        <v>0</v>
      </c>
      <c r="CA57" s="91">
        <f t="shared" si="60"/>
        <v>57.069931602394419</v>
      </c>
      <c r="CB57" s="91">
        <f t="shared" si="61"/>
        <v>48.545014807183257</v>
      </c>
      <c r="CC57" s="95">
        <f t="shared" si="62"/>
        <v>44.849249999999998</v>
      </c>
      <c r="CD57" s="90">
        <f t="shared" si="63"/>
        <v>1.6018257472049382</v>
      </c>
      <c r="CE57" s="91">
        <f t="shared" si="64"/>
        <v>375.95862253078622</v>
      </c>
      <c r="CF57" s="91">
        <f t="shared" si="65"/>
        <v>293683.83757614897</v>
      </c>
      <c r="CG57" s="87">
        <f t="shared" si="66"/>
        <v>2936838375.7614899</v>
      </c>
      <c r="CH57" s="90">
        <f t="shared" si="67"/>
        <v>2.9368383757614898</v>
      </c>
      <c r="CI57" s="87">
        <f t="shared" si="68"/>
        <v>0.5</v>
      </c>
      <c r="CJ57" s="87">
        <f t="shared" si="69"/>
        <v>11.74</v>
      </c>
      <c r="CK57" s="87">
        <f t="shared" si="70"/>
        <v>0.33600000000000002</v>
      </c>
      <c r="CL57" s="90">
        <f t="shared" si="71"/>
        <v>0.42965580647864249</v>
      </c>
      <c r="CM57" s="91">
        <f t="shared" si="72"/>
        <v>0</v>
      </c>
      <c r="CN57" s="91">
        <f t="shared" si="73"/>
        <v>0</v>
      </c>
      <c r="CO57" s="91">
        <f t="shared" si="74"/>
        <v>6.3936875964083706</v>
      </c>
      <c r="CP57" s="91">
        <f t="shared" si="75"/>
        <v>19.181062789225113</v>
      </c>
      <c r="CQ57" s="87">
        <f t="shared" si="76"/>
        <v>0</v>
      </c>
      <c r="CR57" s="87">
        <f t="shared" si="77"/>
        <v>0</v>
      </c>
      <c r="CS57" s="92">
        <f t="shared" si="78"/>
        <v>13</v>
      </c>
      <c r="CT57" s="87">
        <f t="shared" si="79"/>
        <v>44.849249999999998</v>
      </c>
      <c r="CU57" s="87">
        <f t="shared" si="80"/>
        <v>311.17880378100608</v>
      </c>
      <c r="CV57" s="87">
        <f t="shared" si="81"/>
        <v>0</v>
      </c>
      <c r="CW57" s="87">
        <f t="shared" si="82"/>
        <v>4.4849249999999998E-3</v>
      </c>
      <c r="CX57" s="92">
        <f t="shared" si="83"/>
        <v>1.3171499852412099E-2</v>
      </c>
      <c r="CY57" s="87">
        <f t="shared" si="84"/>
        <v>13171.499852412098</v>
      </c>
      <c r="CZ57" s="91">
        <f t="shared" si="85"/>
        <v>30.655933549141579</v>
      </c>
      <c r="DA57" s="93">
        <f t="shared" si="86"/>
        <v>319.75490969381127</v>
      </c>
      <c r="DB57" s="93">
        <f t="shared" si="87"/>
        <v>959.26472908143387</v>
      </c>
      <c r="DC57" s="91">
        <f t="shared" si="88"/>
        <v>0.20901477054150139</v>
      </c>
      <c r="DD57" s="91">
        <f t="shared" si="89"/>
        <v>9.7163207043196882E-6</v>
      </c>
      <c r="DE57" s="91">
        <f t="shared" si="90"/>
        <v>0</v>
      </c>
      <c r="DF57" s="91">
        <f t="shared" si="91"/>
        <v>54.938702403591627</v>
      </c>
      <c r="DG57" s="91">
        <f t="shared" si="92"/>
        <v>42.15132721077488</v>
      </c>
      <c r="DH57" s="95">
        <f t="shared" si="93"/>
        <v>59.798999999999999</v>
      </c>
      <c r="DI57" s="90">
        <f t="shared" si="94"/>
        <v>1.6018257472049382</v>
      </c>
      <c r="DJ57" s="91">
        <f t="shared" si="95"/>
        <v>375.95862253078622</v>
      </c>
      <c r="DK57" s="91">
        <f t="shared" si="96"/>
        <v>293683.83757614897</v>
      </c>
      <c r="DL57" s="87">
        <f t="shared" si="97"/>
        <v>2936838375.7614899</v>
      </c>
      <c r="DM57" s="90">
        <f t="shared" si="98"/>
        <v>2.9368383757614898</v>
      </c>
      <c r="DN57" s="87">
        <f t="shared" si="99"/>
        <v>0.5</v>
      </c>
      <c r="DO57" s="87">
        <f t="shared" si="100"/>
        <v>11.74</v>
      </c>
      <c r="DP57" s="87">
        <f t="shared" si="101"/>
        <v>0.33600000000000002</v>
      </c>
      <c r="DQ57" s="90">
        <f t="shared" si="102"/>
        <v>0.57287440863819006</v>
      </c>
      <c r="DR57" s="91">
        <f t="shared" si="103"/>
        <v>0</v>
      </c>
      <c r="DS57" s="91">
        <f t="shared" si="104"/>
        <v>0</v>
      </c>
      <c r="DT57" s="91">
        <f t="shared" si="105"/>
        <v>8.5249167952111602</v>
      </c>
      <c r="DU57" s="91">
        <f t="shared" si="106"/>
        <v>25.574750385633479</v>
      </c>
      <c r="DV57" s="87">
        <f t="shared" si="107"/>
        <v>0</v>
      </c>
      <c r="DW57" s="87">
        <f t="shared" si="108"/>
        <v>0</v>
      </c>
      <c r="DX57" s="92">
        <f t="shared" si="109"/>
        <v>13</v>
      </c>
      <c r="DY57" s="87">
        <f t="shared" si="110"/>
        <v>59.798999999999999</v>
      </c>
      <c r="DZ57" s="87">
        <f t="shared" si="111"/>
        <v>311.17880378100608</v>
      </c>
      <c r="EA57" s="87">
        <f t="shared" si="112"/>
        <v>0</v>
      </c>
      <c r="EB57" s="87">
        <f t="shared" si="113"/>
        <v>5.9798999999999998E-3</v>
      </c>
      <c r="EC57" s="92">
        <f t="shared" si="114"/>
        <v>1.7561999803216131E-2</v>
      </c>
      <c r="ED57" s="87">
        <f t="shared" si="115"/>
        <v>17561.999803216131</v>
      </c>
      <c r="EE57" s="91">
        <f t="shared" si="116"/>
        <v>30.655933549141576</v>
      </c>
      <c r="EF57" s="93">
        <f t="shared" si="117"/>
        <v>239.81618227035847</v>
      </c>
      <c r="EG57" s="93">
        <f t="shared" si="118"/>
        <v>719.44854681107552</v>
      </c>
      <c r="EH57" s="91">
        <f t="shared" si="119"/>
        <v>0.72738002381029199</v>
      </c>
      <c r="EI57" s="91">
        <f t="shared" si="120"/>
        <v>4.0950104773767839E-4</v>
      </c>
      <c r="EJ57" s="91">
        <f t="shared" si="121"/>
        <v>0</v>
      </c>
      <c r="EK57" s="91">
        <f t="shared" si="122"/>
        <v>52.807473204788835</v>
      </c>
      <c r="EL57" s="91">
        <f t="shared" si="123"/>
        <v>35.757639614366518</v>
      </c>
    </row>
    <row r="58" spans="1:142" x14ac:dyDescent="0.4">
      <c r="A58" s="21">
        <v>98</v>
      </c>
      <c r="B58" s="21" t="s">
        <v>94</v>
      </c>
      <c r="C58" s="21">
        <v>103.495987</v>
      </c>
      <c r="D58" s="21">
        <v>620124.19999999995</v>
      </c>
      <c r="E58" s="21">
        <v>6082077.4000000004</v>
      </c>
      <c r="F58" s="21">
        <v>830.6</v>
      </c>
      <c r="G58" s="21">
        <v>8</v>
      </c>
      <c r="H58" s="21">
        <v>0</v>
      </c>
      <c r="I58" s="21">
        <v>48.57</v>
      </c>
      <c r="J58" s="21">
        <v>0</v>
      </c>
      <c r="K58" s="21">
        <v>100</v>
      </c>
      <c r="L58" s="21">
        <v>3.8</v>
      </c>
      <c r="M58" s="21">
        <v>100</v>
      </c>
      <c r="N58" s="21">
        <v>0</v>
      </c>
      <c r="O58" s="35">
        <v>7</v>
      </c>
      <c r="P58" s="21">
        <v>90</v>
      </c>
      <c r="Q58" s="4">
        <v>781.16</v>
      </c>
      <c r="R58" s="4">
        <v>30.899999619999999</v>
      </c>
      <c r="S58" s="89">
        <f t="shared" si="0"/>
        <v>46.141500000000001</v>
      </c>
      <c r="T58" s="90">
        <f t="shared" si="1"/>
        <v>2.2523775068692409</v>
      </c>
      <c r="U58" s="91">
        <f t="shared" si="2"/>
        <v>431.053851056756</v>
      </c>
      <c r="V58" s="91">
        <f t="shared" si="3"/>
        <v>336722.02629149548</v>
      </c>
      <c r="W58" s="87">
        <f t="shared" si="4"/>
        <v>3367220262.9149547</v>
      </c>
      <c r="X58" s="90">
        <f t="shared" si="5"/>
        <v>3.3672202629149548</v>
      </c>
      <c r="Y58" s="87">
        <f t="shared" si="6"/>
        <v>0.5</v>
      </c>
      <c r="Z58" s="87">
        <f t="shared" si="7"/>
        <v>11.74</v>
      </c>
      <c r="AA58" s="87">
        <f t="shared" si="8"/>
        <v>0.33600000000000002</v>
      </c>
      <c r="AB58" s="90">
        <f t="shared" si="9"/>
        <v>0.44203556123311499</v>
      </c>
      <c r="AC58" s="91">
        <f t="shared" si="10"/>
        <v>0</v>
      </c>
      <c r="AD58" s="91">
        <f t="shared" si="11"/>
        <v>0</v>
      </c>
      <c r="AE58" s="91">
        <f t="shared" si="12"/>
        <v>6.5779101373975442</v>
      </c>
      <c r="AF58" s="91">
        <f t="shared" si="13"/>
        <v>19.733730412192632</v>
      </c>
      <c r="AG58" s="87">
        <f t="shared" si="14"/>
        <v>0</v>
      </c>
      <c r="AH58" s="87">
        <f t="shared" si="15"/>
        <v>0</v>
      </c>
      <c r="AI58" s="92">
        <f t="shared" si="16"/>
        <v>7</v>
      </c>
      <c r="AJ58" s="87">
        <f t="shared" si="17"/>
        <v>46.141500000000001</v>
      </c>
      <c r="AK58" s="87">
        <f t="shared" si="18"/>
        <v>574.38563336875552</v>
      </c>
      <c r="AL58" s="87">
        <f t="shared" si="19"/>
        <v>0</v>
      </c>
      <c r="AM58" s="87">
        <f t="shared" si="20"/>
        <v>4.61415E-3</v>
      </c>
      <c r="AN58" s="92">
        <f t="shared" si="21"/>
        <v>1.5536859376129039E-2</v>
      </c>
      <c r="AO58" s="87">
        <f t="shared" si="22"/>
        <v>15536.859376129039</v>
      </c>
      <c r="AP58" s="91">
        <f t="shared" si="23"/>
        <v>35.148437679509257</v>
      </c>
      <c r="AQ58" s="93">
        <f t="shared" si="24"/>
        <v>524.46235373750847</v>
      </c>
      <c r="AR58" s="93">
        <f t="shared" si="25"/>
        <v>1573.3870612125252</v>
      </c>
      <c r="AS58" s="91">
        <f t="shared" si="26"/>
        <v>9.8327901159475858E-3</v>
      </c>
      <c r="AT58" s="91">
        <f t="shared" si="27"/>
        <v>7.6951706597783388E-10</v>
      </c>
      <c r="AU58" s="91">
        <f t="shared" si="28"/>
        <v>0</v>
      </c>
      <c r="AV58" s="91">
        <f t="shared" si="29"/>
        <v>96.918076862602462</v>
      </c>
      <c r="AW58" s="91">
        <f t="shared" si="30"/>
        <v>83.762256587807371</v>
      </c>
      <c r="AX58" s="95">
        <f t="shared" si="31"/>
        <v>92.283000000000001</v>
      </c>
      <c r="AY58" s="90">
        <f t="shared" si="32"/>
        <v>2.2523775068692409</v>
      </c>
      <c r="AZ58" s="91">
        <f t="shared" si="33"/>
        <v>431.053851056756</v>
      </c>
      <c r="BA58" s="91">
        <f t="shared" si="34"/>
        <v>336722.02629149548</v>
      </c>
      <c r="BB58" s="87">
        <f t="shared" si="35"/>
        <v>3367220262.9149547</v>
      </c>
      <c r="BC58" s="90">
        <f t="shared" si="36"/>
        <v>3.3672202629149548</v>
      </c>
      <c r="BD58" s="87">
        <f t="shared" si="37"/>
        <v>0.5</v>
      </c>
      <c r="BE58" s="87">
        <f t="shared" si="38"/>
        <v>11.74</v>
      </c>
      <c r="BF58" s="87">
        <f t="shared" si="39"/>
        <v>0.33600000000000002</v>
      </c>
      <c r="BG58" s="90">
        <f t="shared" si="40"/>
        <v>0.88407112246622999</v>
      </c>
      <c r="BH58" s="91">
        <f t="shared" si="41"/>
        <v>0</v>
      </c>
      <c r="BI58" s="91">
        <f t="shared" si="42"/>
        <v>0</v>
      </c>
      <c r="BJ58" s="91">
        <f t="shared" si="43"/>
        <v>13.155820274795088</v>
      </c>
      <c r="BK58" s="91">
        <f t="shared" si="44"/>
        <v>39.467460824385263</v>
      </c>
      <c r="BL58" s="87">
        <f t="shared" si="45"/>
        <v>0</v>
      </c>
      <c r="BM58" s="87">
        <f t="shared" si="46"/>
        <v>0</v>
      </c>
      <c r="BN58" s="92">
        <f t="shared" si="47"/>
        <v>7</v>
      </c>
      <c r="BO58" s="87">
        <f t="shared" si="48"/>
        <v>92.283000000000001</v>
      </c>
      <c r="BP58" s="87">
        <f t="shared" si="49"/>
        <v>574.38563336875552</v>
      </c>
      <c r="BQ58" s="87">
        <f t="shared" si="50"/>
        <v>0</v>
      </c>
      <c r="BR58" s="87">
        <f t="shared" si="51"/>
        <v>9.2283E-3</v>
      </c>
      <c r="BS58" s="92">
        <f t="shared" si="52"/>
        <v>3.1073718752258079E-2</v>
      </c>
      <c r="BT58" s="87">
        <f t="shared" si="53"/>
        <v>31073.718752258079</v>
      </c>
      <c r="BU58" s="91">
        <f t="shared" si="54"/>
        <v>35.148437679509257</v>
      </c>
      <c r="BV58" s="93">
        <f t="shared" si="55"/>
        <v>262.23117686875423</v>
      </c>
      <c r="BW58" s="93">
        <f t="shared" si="56"/>
        <v>786.69353060626258</v>
      </c>
      <c r="BX58" s="91">
        <f t="shared" si="57"/>
        <v>0.58788367098098449</v>
      </c>
      <c r="BY58" s="91">
        <f t="shared" si="58"/>
        <v>1.6446070240893628E-4</v>
      </c>
      <c r="BZ58" s="91">
        <f t="shared" si="59"/>
        <v>0</v>
      </c>
      <c r="CA58" s="91">
        <f t="shared" si="60"/>
        <v>90.340166725204909</v>
      </c>
      <c r="CB58" s="91">
        <f t="shared" si="61"/>
        <v>64.028526175614729</v>
      </c>
      <c r="CC58" s="95">
        <f t="shared" si="62"/>
        <v>138.42449999999999</v>
      </c>
      <c r="CD58" s="90">
        <f t="shared" si="63"/>
        <v>2.2523775068692409</v>
      </c>
      <c r="CE58" s="91">
        <f t="shared" si="64"/>
        <v>431.053851056756</v>
      </c>
      <c r="CF58" s="91">
        <f t="shared" si="65"/>
        <v>336722.02629149548</v>
      </c>
      <c r="CG58" s="87">
        <f t="shared" si="66"/>
        <v>3367220262.9149547</v>
      </c>
      <c r="CH58" s="90">
        <f t="shared" si="67"/>
        <v>3.3672202629149548</v>
      </c>
      <c r="CI58" s="87">
        <f t="shared" si="68"/>
        <v>0.5</v>
      </c>
      <c r="CJ58" s="87">
        <f t="shared" si="69"/>
        <v>11.74</v>
      </c>
      <c r="CK58" s="87">
        <f t="shared" si="70"/>
        <v>0.33600000000000002</v>
      </c>
      <c r="CL58" s="90">
        <f t="shared" si="71"/>
        <v>1.3261066836993449</v>
      </c>
      <c r="CM58" s="91">
        <f t="shared" si="72"/>
        <v>0</v>
      </c>
      <c r="CN58" s="91">
        <f t="shared" si="73"/>
        <v>0</v>
      </c>
      <c r="CO58" s="91">
        <f t="shared" si="74"/>
        <v>19.733730412192632</v>
      </c>
      <c r="CP58" s="91">
        <f t="shared" si="75"/>
        <v>59.201191236577898</v>
      </c>
      <c r="CQ58" s="87">
        <f t="shared" si="76"/>
        <v>0</v>
      </c>
      <c r="CR58" s="87">
        <f t="shared" si="77"/>
        <v>0</v>
      </c>
      <c r="CS58" s="92">
        <f t="shared" si="78"/>
        <v>7</v>
      </c>
      <c r="CT58" s="87">
        <f t="shared" si="79"/>
        <v>138.42449999999999</v>
      </c>
      <c r="CU58" s="87">
        <f t="shared" si="80"/>
        <v>574.38563336875552</v>
      </c>
      <c r="CV58" s="87">
        <f t="shared" si="81"/>
        <v>0</v>
      </c>
      <c r="CW58" s="87">
        <f t="shared" si="82"/>
        <v>1.3842449999999999E-2</v>
      </c>
      <c r="CX58" s="92">
        <f t="shared" si="83"/>
        <v>4.6610578128387113E-2</v>
      </c>
      <c r="CY58" s="87">
        <f t="shared" si="84"/>
        <v>46610.578128387111</v>
      </c>
      <c r="CZ58" s="91">
        <f t="shared" si="85"/>
        <v>35.14843767950925</v>
      </c>
      <c r="DA58" s="93">
        <f t="shared" si="86"/>
        <v>174.82078457916947</v>
      </c>
      <c r="DB58" s="93">
        <f t="shared" si="87"/>
        <v>524.46235373750847</v>
      </c>
      <c r="DC58" s="91">
        <f t="shared" si="88"/>
        <v>2.2987739844948258</v>
      </c>
      <c r="DD58" s="91">
        <f t="shared" si="89"/>
        <v>9.8327901159475841E-3</v>
      </c>
      <c r="DE58" s="91">
        <f t="shared" si="90"/>
        <v>0</v>
      </c>
      <c r="DF58" s="91">
        <f t="shared" si="91"/>
        <v>83.762256587807371</v>
      </c>
      <c r="DG58" s="91">
        <f t="shared" si="92"/>
        <v>44.294795763422101</v>
      </c>
      <c r="DH58" s="95">
        <f t="shared" si="93"/>
        <v>184.566</v>
      </c>
      <c r="DI58" s="90">
        <f t="shared" si="94"/>
        <v>2.2523775068692409</v>
      </c>
      <c r="DJ58" s="91">
        <f t="shared" si="95"/>
        <v>431.053851056756</v>
      </c>
      <c r="DK58" s="91">
        <f t="shared" si="96"/>
        <v>336722.02629149548</v>
      </c>
      <c r="DL58" s="87">
        <f t="shared" si="97"/>
        <v>3367220262.9149547</v>
      </c>
      <c r="DM58" s="90">
        <f t="shared" si="98"/>
        <v>3.3672202629149548</v>
      </c>
      <c r="DN58" s="87">
        <f t="shared" si="99"/>
        <v>0.5</v>
      </c>
      <c r="DO58" s="87">
        <f t="shared" si="100"/>
        <v>11.74</v>
      </c>
      <c r="DP58" s="87">
        <f t="shared" si="101"/>
        <v>0.33600000000000002</v>
      </c>
      <c r="DQ58" s="90">
        <f t="shared" si="102"/>
        <v>1.76814224493246</v>
      </c>
      <c r="DR58" s="91">
        <f t="shared" si="103"/>
        <v>0</v>
      </c>
      <c r="DS58" s="91">
        <f t="shared" si="104"/>
        <v>0</v>
      </c>
      <c r="DT58" s="91">
        <f t="shared" si="105"/>
        <v>26.311640549590177</v>
      </c>
      <c r="DU58" s="91">
        <f t="shared" si="106"/>
        <v>78.934921648770526</v>
      </c>
      <c r="DV58" s="87">
        <f t="shared" si="107"/>
        <v>0</v>
      </c>
      <c r="DW58" s="87">
        <f t="shared" si="108"/>
        <v>0</v>
      </c>
      <c r="DX58" s="92">
        <f t="shared" si="109"/>
        <v>7</v>
      </c>
      <c r="DY58" s="87">
        <f t="shared" si="110"/>
        <v>184.566</v>
      </c>
      <c r="DZ58" s="87">
        <f t="shared" si="111"/>
        <v>574.38563336875552</v>
      </c>
      <c r="EA58" s="87">
        <f t="shared" si="112"/>
        <v>0</v>
      </c>
      <c r="EB58" s="87">
        <f t="shared" si="113"/>
        <v>1.84566E-2</v>
      </c>
      <c r="EC58" s="92">
        <f t="shared" si="114"/>
        <v>6.2147437504516158E-2</v>
      </c>
      <c r="ED58" s="87">
        <f t="shared" si="115"/>
        <v>62147.437504516158</v>
      </c>
      <c r="EE58" s="91">
        <f t="shared" si="116"/>
        <v>35.148437679509257</v>
      </c>
      <c r="EF58" s="93">
        <f t="shared" si="117"/>
        <v>131.11558843437712</v>
      </c>
      <c r="EG58" s="93">
        <f t="shared" si="118"/>
        <v>393.34676530313129</v>
      </c>
      <c r="EH58" s="91">
        <f t="shared" si="119"/>
        <v>4.5456784501629954</v>
      </c>
      <c r="EI58" s="91">
        <f t="shared" si="120"/>
        <v>7.602984117666442E-2</v>
      </c>
      <c r="EJ58" s="91">
        <f t="shared" si="121"/>
        <v>0</v>
      </c>
      <c r="EK58" s="91">
        <f t="shared" si="122"/>
        <v>77.184346450409819</v>
      </c>
      <c r="EL58" s="91">
        <f t="shared" si="123"/>
        <v>24.561065351229473</v>
      </c>
    </row>
    <row r="59" spans="1:142" x14ac:dyDescent="0.4">
      <c r="A59" s="87">
        <v>98</v>
      </c>
      <c r="B59" s="94" t="s">
        <v>94</v>
      </c>
      <c r="C59" s="87">
        <v>103.495987</v>
      </c>
      <c r="D59" s="87">
        <v>620124.19999999995</v>
      </c>
      <c r="E59" s="87">
        <v>6082077.4000000004</v>
      </c>
      <c r="F59" s="87">
        <v>830.6</v>
      </c>
      <c r="G59" s="87">
        <v>8</v>
      </c>
      <c r="H59" s="87">
        <v>0</v>
      </c>
      <c r="I59" s="87">
        <v>48.57</v>
      </c>
      <c r="J59" s="87">
        <v>0</v>
      </c>
      <c r="K59" s="87">
        <v>100</v>
      </c>
      <c r="L59" s="87">
        <v>3.8</v>
      </c>
      <c r="M59" s="87">
        <v>100</v>
      </c>
      <c r="N59" s="87">
        <v>0</v>
      </c>
      <c r="O59" s="88">
        <v>7</v>
      </c>
      <c r="P59" s="87">
        <v>90</v>
      </c>
      <c r="Q59" s="89">
        <v>781.16</v>
      </c>
      <c r="R59" s="89">
        <v>30.899999619999999</v>
      </c>
      <c r="S59" s="89">
        <f t="shared" si="0"/>
        <v>46.141500000000001</v>
      </c>
      <c r="T59" s="90">
        <f t="shared" si="1"/>
        <v>2.2523775068692409</v>
      </c>
      <c r="U59" s="91">
        <f t="shared" si="2"/>
        <v>431.053851056756</v>
      </c>
      <c r="V59" s="91">
        <f t="shared" si="3"/>
        <v>336722.02629149548</v>
      </c>
      <c r="W59" s="87">
        <f t="shared" si="4"/>
        <v>3367220262.9149547</v>
      </c>
      <c r="X59" s="90">
        <f t="shared" si="5"/>
        <v>3.3672202629149548</v>
      </c>
      <c r="Y59" s="87">
        <f t="shared" si="6"/>
        <v>0.5</v>
      </c>
      <c r="Z59" s="87">
        <f t="shared" si="7"/>
        <v>11.74</v>
      </c>
      <c r="AA59" s="87">
        <f t="shared" si="8"/>
        <v>0.33600000000000002</v>
      </c>
      <c r="AB59" s="90">
        <f t="shared" si="9"/>
        <v>0.44203556123311499</v>
      </c>
      <c r="AC59" s="91">
        <f t="shared" si="10"/>
        <v>0</v>
      </c>
      <c r="AD59" s="91">
        <f t="shared" si="11"/>
        <v>0</v>
      </c>
      <c r="AE59" s="91">
        <f t="shared" si="12"/>
        <v>6.5779101373975442</v>
      </c>
      <c r="AF59" s="91">
        <f t="shared" si="13"/>
        <v>19.733730412192632</v>
      </c>
      <c r="AG59" s="87">
        <f t="shared" si="14"/>
        <v>0</v>
      </c>
      <c r="AH59" s="87">
        <f t="shared" si="15"/>
        <v>0</v>
      </c>
      <c r="AI59" s="92">
        <f t="shared" si="16"/>
        <v>7</v>
      </c>
      <c r="AJ59" s="87">
        <f t="shared" si="17"/>
        <v>46.141500000000001</v>
      </c>
      <c r="AK59" s="87">
        <f t="shared" si="18"/>
        <v>574.38563336875552</v>
      </c>
      <c r="AL59" s="87">
        <f t="shared" si="19"/>
        <v>0</v>
      </c>
      <c r="AM59" s="87">
        <f t="shared" si="20"/>
        <v>4.61415E-3</v>
      </c>
      <c r="AN59" s="92">
        <f t="shared" si="21"/>
        <v>1.5536859376129039E-2</v>
      </c>
      <c r="AO59" s="87">
        <f t="shared" si="22"/>
        <v>15536.859376129039</v>
      </c>
      <c r="AP59" s="91">
        <f t="shared" si="23"/>
        <v>35.148437679509257</v>
      </c>
      <c r="AQ59" s="93">
        <f t="shared" si="24"/>
        <v>524.46235373750847</v>
      </c>
      <c r="AR59" s="93">
        <f t="shared" si="25"/>
        <v>1573.3870612125252</v>
      </c>
      <c r="AS59" s="91">
        <f t="shared" si="26"/>
        <v>9.8327901159475858E-3</v>
      </c>
      <c r="AT59" s="91">
        <f t="shared" si="27"/>
        <v>7.6951706597783388E-10</v>
      </c>
      <c r="AU59" s="91">
        <f t="shared" si="28"/>
        <v>0</v>
      </c>
      <c r="AV59" s="91">
        <f t="shared" si="29"/>
        <v>96.918076862602462</v>
      </c>
      <c r="AW59" s="91">
        <f t="shared" si="30"/>
        <v>83.762256587807371</v>
      </c>
      <c r="AX59" s="95">
        <f t="shared" si="31"/>
        <v>92.283000000000001</v>
      </c>
      <c r="AY59" s="90">
        <f t="shared" si="32"/>
        <v>2.2523775068692409</v>
      </c>
      <c r="AZ59" s="91">
        <f t="shared" si="33"/>
        <v>431.053851056756</v>
      </c>
      <c r="BA59" s="91">
        <f t="shared" si="34"/>
        <v>336722.02629149548</v>
      </c>
      <c r="BB59" s="87">
        <f t="shared" si="35"/>
        <v>3367220262.9149547</v>
      </c>
      <c r="BC59" s="90">
        <f t="shared" si="36"/>
        <v>3.3672202629149548</v>
      </c>
      <c r="BD59" s="87">
        <f t="shared" si="37"/>
        <v>0.5</v>
      </c>
      <c r="BE59" s="87">
        <f t="shared" si="38"/>
        <v>11.74</v>
      </c>
      <c r="BF59" s="87">
        <f t="shared" si="39"/>
        <v>0.33600000000000002</v>
      </c>
      <c r="BG59" s="90">
        <f t="shared" si="40"/>
        <v>0.88407112246622999</v>
      </c>
      <c r="BH59" s="91">
        <f t="shared" si="41"/>
        <v>0</v>
      </c>
      <c r="BI59" s="91">
        <f t="shared" si="42"/>
        <v>0</v>
      </c>
      <c r="BJ59" s="91">
        <f t="shared" si="43"/>
        <v>13.155820274795088</v>
      </c>
      <c r="BK59" s="91">
        <f t="shared" si="44"/>
        <v>39.467460824385263</v>
      </c>
      <c r="BL59" s="87">
        <f t="shared" si="45"/>
        <v>0</v>
      </c>
      <c r="BM59" s="87">
        <f t="shared" si="46"/>
        <v>0</v>
      </c>
      <c r="BN59" s="92">
        <f t="shared" si="47"/>
        <v>7</v>
      </c>
      <c r="BO59" s="87">
        <f t="shared" si="48"/>
        <v>92.283000000000001</v>
      </c>
      <c r="BP59" s="87">
        <f t="shared" si="49"/>
        <v>574.38563336875552</v>
      </c>
      <c r="BQ59" s="87">
        <f t="shared" si="50"/>
        <v>0</v>
      </c>
      <c r="BR59" s="87">
        <f t="shared" si="51"/>
        <v>9.2283E-3</v>
      </c>
      <c r="BS59" s="92">
        <f t="shared" si="52"/>
        <v>3.1073718752258079E-2</v>
      </c>
      <c r="BT59" s="87">
        <f t="shared" si="53"/>
        <v>31073.718752258079</v>
      </c>
      <c r="BU59" s="91">
        <f t="shared" si="54"/>
        <v>35.148437679509257</v>
      </c>
      <c r="BV59" s="93">
        <f t="shared" si="55"/>
        <v>262.23117686875423</v>
      </c>
      <c r="BW59" s="93">
        <f t="shared" si="56"/>
        <v>786.69353060626258</v>
      </c>
      <c r="BX59" s="91">
        <f t="shared" si="57"/>
        <v>0.58788367098098449</v>
      </c>
      <c r="BY59" s="91">
        <f t="shared" si="58"/>
        <v>1.6446070240893628E-4</v>
      </c>
      <c r="BZ59" s="91">
        <f t="shared" si="59"/>
        <v>0</v>
      </c>
      <c r="CA59" s="91">
        <f t="shared" si="60"/>
        <v>90.340166725204909</v>
      </c>
      <c r="CB59" s="91">
        <f t="shared" si="61"/>
        <v>64.028526175614729</v>
      </c>
      <c r="CC59" s="95">
        <f t="shared" si="62"/>
        <v>138.42449999999999</v>
      </c>
      <c r="CD59" s="90">
        <f t="shared" si="63"/>
        <v>2.2523775068692409</v>
      </c>
      <c r="CE59" s="91">
        <f t="shared" si="64"/>
        <v>431.053851056756</v>
      </c>
      <c r="CF59" s="91">
        <f t="shared" si="65"/>
        <v>336722.02629149548</v>
      </c>
      <c r="CG59" s="87">
        <f t="shared" si="66"/>
        <v>3367220262.9149547</v>
      </c>
      <c r="CH59" s="90">
        <f t="shared" si="67"/>
        <v>3.3672202629149548</v>
      </c>
      <c r="CI59" s="87">
        <f t="shared" si="68"/>
        <v>0.5</v>
      </c>
      <c r="CJ59" s="87">
        <f t="shared" si="69"/>
        <v>11.74</v>
      </c>
      <c r="CK59" s="87">
        <f t="shared" si="70"/>
        <v>0.33600000000000002</v>
      </c>
      <c r="CL59" s="90">
        <f t="shared" si="71"/>
        <v>1.3261066836993449</v>
      </c>
      <c r="CM59" s="91">
        <f t="shared" si="72"/>
        <v>0</v>
      </c>
      <c r="CN59" s="91">
        <f t="shared" si="73"/>
        <v>0</v>
      </c>
      <c r="CO59" s="91">
        <f t="shared" si="74"/>
        <v>19.733730412192632</v>
      </c>
      <c r="CP59" s="91">
        <f t="shared" si="75"/>
        <v>59.201191236577898</v>
      </c>
      <c r="CQ59" s="87">
        <f t="shared" si="76"/>
        <v>0</v>
      </c>
      <c r="CR59" s="87">
        <f t="shared" si="77"/>
        <v>0</v>
      </c>
      <c r="CS59" s="92">
        <f t="shared" si="78"/>
        <v>7</v>
      </c>
      <c r="CT59" s="87">
        <f t="shared" si="79"/>
        <v>138.42449999999999</v>
      </c>
      <c r="CU59" s="87">
        <f t="shared" si="80"/>
        <v>574.38563336875552</v>
      </c>
      <c r="CV59" s="87">
        <f t="shared" si="81"/>
        <v>0</v>
      </c>
      <c r="CW59" s="87">
        <f t="shared" si="82"/>
        <v>1.3842449999999999E-2</v>
      </c>
      <c r="CX59" s="92">
        <f t="shared" si="83"/>
        <v>4.6610578128387113E-2</v>
      </c>
      <c r="CY59" s="87">
        <f t="shared" si="84"/>
        <v>46610.578128387111</v>
      </c>
      <c r="CZ59" s="91">
        <f t="shared" si="85"/>
        <v>35.14843767950925</v>
      </c>
      <c r="DA59" s="93">
        <f t="shared" si="86"/>
        <v>174.82078457916947</v>
      </c>
      <c r="DB59" s="93">
        <f t="shared" si="87"/>
        <v>524.46235373750847</v>
      </c>
      <c r="DC59" s="91">
        <f t="shared" si="88"/>
        <v>2.2987739844948258</v>
      </c>
      <c r="DD59" s="91">
        <f t="shared" si="89"/>
        <v>9.8327901159475841E-3</v>
      </c>
      <c r="DE59" s="91">
        <f t="shared" si="90"/>
        <v>0</v>
      </c>
      <c r="DF59" s="91">
        <f t="shared" si="91"/>
        <v>83.762256587807371</v>
      </c>
      <c r="DG59" s="91">
        <f t="shared" si="92"/>
        <v>44.294795763422101</v>
      </c>
      <c r="DH59" s="95">
        <f t="shared" si="93"/>
        <v>184.566</v>
      </c>
      <c r="DI59" s="90">
        <f t="shared" si="94"/>
        <v>2.2523775068692409</v>
      </c>
      <c r="DJ59" s="91">
        <f t="shared" si="95"/>
        <v>431.053851056756</v>
      </c>
      <c r="DK59" s="91">
        <f t="shared" si="96"/>
        <v>336722.02629149548</v>
      </c>
      <c r="DL59" s="87">
        <f t="shared" si="97"/>
        <v>3367220262.9149547</v>
      </c>
      <c r="DM59" s="90">
        <f t="shared" si="98"/>
        <v>3.3672202629149548</v>
      </c>
      <c r="DN59" s="87">
        <f t="shared" si="99"/>
        <v>0.5</v>
      </c>
      <c r="DO59" s="87">
        <f t="shared" si="100"/>
        <v>11.74</v>
      </c>
      <c r="DP59" s="87">
        <f t="shared" si="101"/>
        <v>0.33600000000000002</v>
      </c>
      <c r="DQ59" s="90">
        <f t="shared" si="102"/>
        <v>1.76814224493246</v>
      </c>
      <c r="DR59" s="91">
        <f t="shared" si="103"/>
        <v>0</v>
      </c>
      <c r="DS59" s="91">
        <f t="shared" si="104"/>
        <v>0</v>
      </c>
      <c r="DT59" s="91">
        <f t="shared" si="105"/>
        <v>26.311640549590177</v>
      </c>
      <c r="DU59" s="91">
        <f t="shared" si="106"/>
        <v>78.934921648770526</v>
      </c>
      <c r="DV59" s="87">
        <f t="shared" si="107"/>
        <v>0</v>
      </c>
      <c r="DW59" s="87">
        <f t="shared" si="108"/>
        <v>0</v>
      </c>
      <c r="DX59" s="92">
        <f t="shared" si="109"/>
        <v>7</v>
      </c>
      <c r="DY59" s="87">
        <f t="shared" si="110"/>
        <v>184.566</v>
      </c>
      <c r="DZ59" s="87">
        <f t="shared" si="111"/>
        <v>574.38563336875552</v>
      </c>
      <c r="EA59" s="87">
        <f t="shared" si="112"/>
        <v>0</v>
      </c>
      <c r="EB59" s="87">
        <f t="shared" si="113"/>
        <v>1.84566E-2</v>
      </c>
      <c r="EC59" s="92">
        <f t="shared" si="114"/>
        <v>6.2147437504516158E-2</v>
      </c>
      <c r="ED59" s="87">
        <f t="shared" si="115"/>
        <v>62147.437504516158</v>
      </c>
      <c r="EE59" s="91">
        <f t="shared" si="116"/>
        <v>35.148437679509257</v>
      </c>
      <c r="EF59" s="93">
        <f t="shared" si="117"/>
        <v>131.11558843437712</v>
      </c>
      <c r="EG59" s="93">
        <f t="shared" si="118"/>
        <v>393.34676530313129</v>
      </c>
      <c r="EH59" s="91">
        <f t="shared" si="119"/>
        <v>4.5456784501629954</v>
      </c>
      <c r="EI59" s="91">
        <f t="shared" si="120"/>
        <v>7.602984117666442E-2</v>
      </c>
      <c r="EJ59" s="91">
        <f t="shared" si="121"/>
        <v>0</v>
      </c>
      <c r="EK59" s="91">
        <f t="shared" si="122"/>
        <v>77.184346450409819</v>
      </c>
      <c r="EL59" s="91">
        <f t="shared" si="123"/>
        <v>24.561065351229473</v>
      </c>
    </row>
    <row r="60" spans="1:142" x14ac:dyDescent="0.4">
      <c r="T60" s="5"/>
      <c r="U60" s="8"/>
      <c r="V60" s="8"/>
      <c r="X60" s="5"/>
      <c r="AB60" s="5"/>
      <c r="AC60" s="8"/>
      <c r="AD60" s="8"/>
      <c r="AE60" s="8"/>
      <c r="AF60" s="8"/>
      <c r="AI60" s="9"/>
      <c r="AN60" s="9"/>
      <c r="AP60" s="8"/>
      <c r="AQ60" s="10"/>
      <c r="AR60" s="10"/>
      <c r="AS60" s="8"/>
      <c r="AT60" s="8"/>
      <c r="AU60" s="8"/>
    </row>
    <row r="61" spans="1:142" x14ac:dyDescent="0.4">
      <c r="T61" s="5"/>
      <c r="U61" s="8"/>
      <c r="V61" s="8"/>
      <c r="X61" s="5"/>
      <c r="AB61" s="5"/>
      <c r="AC61" s="8"/>
      <c r="AD61" s="8"/>
      <c r="AE61" s="8"/>
      <c r="AF61" s="8"/>
      <c r="AI61" s="9"/>
      <c r="AN61" s="9"/>
      <c r="AP61" s="8"/>
      <c r="AQ61" s="10"/>
      <c r="AR61" s="10"/>
      <c r="AS61" s="8"/>
      <c r="AT61" s="8"/>
      <c r="AU61" s="8"/>
    </row>
    <row r="62" spans="1:142" x14ac:dyDescent="0.4">
      <c r="T62" s="5"/>
      <c r="U62" s="8"/>
      <c r="V62" s="8"/>
      <c r="X62" s="5"/>
      <c r="AB62" s="5"/>
      <c r="AC62" s="8"/>
      <c r="AD62" s="8"/>
      <c r="AE62" s="8"/>
      <c r="AF62" s="8"/>
      <c r="AI62" s="9"/>
      <c r="AN62" s="9"/>
      <c r="AP62" s="8"/>
      <c r="AQ62" s="10"/>
      <c r="AR62" s="10"/>
      <c r="AS62" s="8"/>
      <c r="AT62" s="8"/>
      <c r="AU62" s="8"/>
    </row>
    <row r="63" spans="1:142" x14ac:dyDescent="0.4">
      <c r="T63" s="5"/>
      <c r="U63" s="8"/>
      <c r="V63" s="8"/>
      <c r="X63" s="5"/>
      <c r="AB63" s="5"/>
      <c r="AC63" s="8"/>
      <c r="AD63" s="8"/>
      <c r="AE63" s="8"/>
      <c r="AF63" s="8"/>
      <c r="AI63" s="9"/>
      <c r="AN63" s="9"/>
      <c r="AP63" s="8"/>
      <c r="AQ63" s="10"/>
      <c r="AR63" s="10"/>
      <c r="AS63" s="8"/>
      <c r="AT63" s="8"/>
      <c r="AU63" s="8"/>
    </row>
    <row r="64" spans="1:142" x14ac:dyDescent="0.4">
      <c r="T64" s="5"/>
      <c r="U64" s="8"/>
      <c r="V64" s="8"/>
      <c r="X64" s="5"/>
      <c r="AB64" s="5"/>
      <c r="AC64" s="8"/>
      <c r="AD64" s="8"/>
      <c r="AE64" s="8"/>
      <c r="AF64" s="8"/>
      <c r="AI64" s="9"/>
      <c r="AN64" s="9"/>
      <c r="AP64" s="8"/>
      <c r="AQ64" s="10"/>
      <c r="AR64" s="10"/>
      <c r="AS64" s="8"/>
      <c r="AT64" s="8"/>
      <c r="AU64" s="8"/>
    </row>
    <row r="65" spans="20:47" x14ac:dyDescent="0.4">
      <c r="T65" s="5"/>
      <c r="U65" s="8"/>
      <c r="V65" s="8"/>
      <c r="X65" s="5"/>
      <c r="AB65" s="5"/>
      <c r="AC65" s="8"/>
      <c r="AD65" s="8"/>
      <c r="AE65" s="8"/>
      <c r="AF65" s="8"/>
      <c r="AI65" s="9"/>
      <c r="AN65" s="9"/>
      <c r="AP65" s="8"/>
      <c r="AQ65" s="10"/>
      <c r="AR65" s="10"/>
      <c r="AS65" s="8"/>
      <c r="AT65" s="8"/>
      <c r="AU65" s="8"/>
    </row>
    <row r="66" spans="20:47" x14ac:dyDescent="0.4">
      <c r="T66" s="5"/>
      <c r="U66" s="8"/>
      <c r="V66" s="8"/>
      <c r="X66" s="5"/>
      <c r="AB66" s="5"/>
      <c r="AC66" s="8"/>
      <c r="AD66" s="8"/>
      <c r="AE66" s="8"/>
      <c r="AF66" s="8"/>
      <c r="AI66" s="9"/>
      <c r="AN66" s="9"/>
      <c r="AP66" s="8"/>
      <c r="AQ66" s="10"/>
      <c r="AR66" s="10"/>
      <c r="AS66" s="8"/>
      <c r="AT66" s="8"/>
      <c r="AU66" s="8"/>
    </row>
    <row r="67" spans="20:47" x14ac:dyDescent="0.4">
      <c r="T67" s="5"/>
      <c r="U67" s="8"/>
      <c r="V67" s="8"/>
      <c r="X67" s="5"/>
      <c r="AB67" s="5"/>
      <c r="AC67" s="8"/>
      <c r="AD67" s="8"/>
      <c r="AE67" s="8"/>
      <c r="AF67" s="8"/>
      <c r="AI67" s="9"/>
      <c r="AN67" s="9"/>
      <c r="AP67" s="8"/>
      <c r="AQ67" s="10"/>
      <c r="AR67" s="10"/>
      <c r="AS67" s="8"/>
      <c r="AT67" s="8"/>
      <c r="AU67" s="8"/>
    </row>
    <row r="68" spans="20:47" x14ac:dyDescent="0.4">
      <c r="T68" s="5"/>
      <c r="U68" s="8"/>
      <c r="V68" s="8"/>
      <c r="X68" s="5"/>
      <c r="AB68" s="5"/>
      <c r="AC68" s="8"/>
      <c r="AD68" s="8"/>
      <c r="AE68" s="8"/>
      <c r="AF68" s="8"/>
      <c r="AI68" s="9"/>
      <c r="AN68" s="9"/>
      <c r="AP68" s="8"/>
      <c r="AQ68" s="10"/>
      <c r="AR68" s="10"/>
      <c r="AS68" s="8"/>
      <c r="AT68" s="8"/>
      <c r="AU68" s="8"/>
    </row>
    <row r="69" spans="20:47" x14ac:dyDescent="0.4">
      <c r="T69" s="5"/>
      <c r="U69" s="8"/>
      <c r="V69" s="8"/>
      <c r="X69" s="5"/>
      <c r="AB69" s="5"/>
      <c r="AC69" s="8"/>
      <c r="AD69" s="8"/>
      <c r="AE69" s="8"/>
      <c r="AF69" s="8"/>
      <c r="AI69" s="9"/>
      <c r="AN69" s="9"/>
      <c r="AP69" s="8"/>
      <c r="AQ69" s="10"/>
      <c r="AR69" s="10"/>
      <c r="AS69" s="8"/>
      <c r="AT69" s="8"/>
      <c r="AU69" s="8"/>
    </row>
    <row r="70" spans="20:47" x14ac:dyDescent="0.4">
      <c r="T70" s="5"/>
      <c r="U70" s="8"/>
      <c r="V70" s="8"/>
      <c r="X70" s="5"/>
      <c r="AB70" s="5"/>
      <c r="AC70" s="8"/>
      <c r="AD70" s="8"/>
      <c r="AE70" s="8"/>
      <c r="AF70" s="8"/>
      <c r="AI70" s="9"/>
      <c r="AN70" s="9"/>
      <c r="AP70" s="8"/>
      <c r="AQ70" s="10"/>
      <c r="AR70" s="10"/>
      <c r="AS70" s="8"/>
      <c r="AT70" s="8"/>
      <c r="AU70" s="8"/>
    </row>
    <row r="71" spans="20:47" x14ac:dyDescent="0.4">
      <c r="T71" s="5"/>
      <c r="U71" s="8"/>
      <c r="V71" s="8"/>
      <c r="X71" s="5"/>
      <c r="AB71" s="5"/>
      <c r="AC71" s="8"/>
      <c r="AD71" s="8"/>
      <c r="AE71" s="8"/>
      <c r="AF71" s="8"/>
      <c r="AI71" s="9"/>
      <c r="AN71" s="9"/>
      <c r="AP71" s="8"/>
      <c r="AQ71" s="10"/>
      <c r="AR71" s="10"/>
      <c r="AS71" s="8"/>
      <c r="AT71" s="8"/>
      <c r="AU71" s="8"/>
    </row>
    <row r="72" spans="20:47" x14ac:dyDescent="0.4">
      <c r="T72" s="5"/>
      <c r="U72" s="8"/>
      <c r="V72" s="8"/>
      <c r="X72" s="5"/>
      <c r="AB72" s="5"/>
      <c r="AC72" s="8"/>
      <c r="AD72" s="8"/>
      <c r="AE72" s="8"/>
      <c r="AF72" s="8"/>
      <c r="AI72" s="9"/>
      <c r="AN72" s="9"/>
      <c r="AP72" s="8"/>
      <c r="AQ72" s="10"/>
      <c r="AR72" s="10"/>
      <c r="AS72" s="8"/>
      <c r="AT72" s="8"/>
      <c r="AU72" s="8"/>
    </row>
    <row r="73" spans="20:47" x14ac:dyDescent="0.4">
      <c r="T73" s="5"/>
      <c r="U73" s="8"/>
      <c r="V73" s="8"/>
      <c r="X73" s="5"/>
      <c r="AB73" s="5"/>
      <c r="AC73" s="8"/>
      <c r="AD73" s="8"/>
      <c r="AE73" s="8"/>
      <c r="AF73" s="8"/>
      <c r="AI73" s="9"/>
      <c r="AN73" s="9"/>
      <c r="AP73" s="8"/>
      <c r="AQ73" s="10"/>
      <c r="AR73" s="10"/>
      <c r="AS73" s="8"/>
      <c r="AT73" s="8"/>
      <c r="AU73" s="8"/>
    </row>
    <row r="74" spans="20:47" x14ac:dyDescent="0.4">
      <c r="T74" s="5"/>
      <c r="U74" s="8"/>
      <c r="V74" s="8"/>
      <c r="X74" s="5"/>
      <c r="AB74" s="5"/>
      <c r="AC74" s="8"/>
      <c r="AD74" s="8"/>
      <c r="AE74" s="8"/>
      <c r="AF74" s="8"/>
      <c r="AI74" s="9"/>
      <c r="AN74" s="9"/>
      <c r="AP74" s="8"/>
      <c r="AQ74" s="10"/>
      <c r="AR74" s="10"/>
      <c r="AS74" s="8"/>
      <c r="AT74" s="8"/>
      <c r="AU74" s="8"/>
    </row>
    <row r="75" spans="20:47" x14ac:dyDescent="0.4">
      <c r="T75" s="5"/>
      <c r="U75" s="8"/>
      <c r="V75" s="8"/>
      <c r="X75" s="5"/>
      <c r="AB75" s="5"/>
      <c r="AC75" s="8"/>
      <c r="AD75" s="8"/>
      <c r="AE75" s="8"/>
      <c r="AF75" s="8"/>
      <c r="AI75" s="9"/>
      <c r="AN75" s="9"/>
      <c r="AP75" s="8"/>
      <c r="AQ75" s="10"/>
      <c r="AR75" s="10"/>
      <c r="AS75" s="8"/>
      <c r="AT75" s="8"/>
      <c r="AU75" s="8"/>
    </row>
    <row r="76" spans="20:47" x14ac:dyDescent="0.4">
      <c r="T76" s="5"/>
      <c r="U76" s="8"/>
      <c r="V76" s="8"/>
      <c r="X76" s="5"/>
      <c r="AB76" s="5"/>
      <c r="AC76" s="8"/>
      <c r="AD76" s="8"/>
      <c r="AE76" s="8"/>
      <c r="AF76" s="8"/>
      <c r="AI76" s="9"/>
      <c r="AN76" s="9"/>
      <c r="AP76" s="8"/>
      <c r="AQ76" s="10"/>
      <c r="AR76" s="10"/>
      <c r="AS76" s="8"/>
      <c r="AT76" s="8"/>
      <c r="AU76" s="8"/>
    </row>
    <row r="77" spans="20:47" x14ac:dyDescent="0.4">
      <c r="T77" s="5"/>
      <c r="U77" s="8"/>
      <c r="V77" s="8"/>
      <c r="X77" s="5"/>
      <c r="AB77" s="5"/>
      <c r="AC77" s="8"/>
      <c r="AD77" s="8"/>
      <c r="AE77" s="8"/>
      <c r="AF77" s="8"/>
      <c r="AI77" s="9"/>
      <c r="AN77" s="9"/>
      <c r="AP77" s="8"/>
      <c r="AQ77" s="10"/>
      <c r="AR77" s="10"/>
      <c r="AS77" s="8"/>
      <c r="AT77" s="8"/>
      <c r="AU77" s="8"/>
    </row>
    <row r="78" spans="20:47" x14ac:dyDescent="0.4">
      <c r="T78" s="5"/>
      <c r="U78" s="8"/>
      <c r="V78" s="8"/>
      <c r="X78" s="5"/>
      <c r="AB78" s="5"/>
      <c r="AC78" s="8"/>
      <c r="AD78" s="8"/>
      <c r="AE78" s="8"/>
      <c r="AF78" s="8"/>
      <c r="AI78" s="9"/>
      <c r="AN78" s="9"/>
      <c r="AP78" s="8"/>
      <c r="AQ78" s="10"/>
      <c r="AR78" s="10"/>
      <c r="AS78" s="8"/>
      <c r="AT78" s="8"/>
      <c r="AU78" s="8"/>
    </row>
    <row r="79" spans="20:47" x14ac:dyDescent="0.4">
      <c r="T79" s="5"/>
      <c r="U79" s="8"/>
      <c r="V79" s="8"/>
      <c r="X79" s="5"/>
      <c r="AB79" s="5"/>
      <c r="AC79" s="8"/>
      <c r="AD79" s="8"/>
      <c r="AE79" s="8"/>
      <c r="AF79" s="8"/>
      <c r="AI79" s="9"/>
      <c r="AN79" s="9"/>
      <c r="AP79" s="8"/>
      <c r="AQ79" s="10"/>
      <c r="AR79" s="10"/>
      <c r="AS79" s="8"/>
      <c r="AT79" s="8"/>
      <c r="AU79" s="8"/>
    </row>
    <row r="80" spans="20:47" x14ac:dyDescent="0.4">
      <c r="T80" s="5"/>
      <c r="U80" s="8"/>
      <c r="V80" s="8"/>
      <c r="X80" s="5"/>
      <c r="AB80" s="5"/>
      <c r="AC80" s="8"/>
      <c r="AD80" s="8"/>
      <c r="AE80" s="8"/>
      <c r="AF80" s="8"/>
      <c r="AI80" s="9"/>
      <c r="AN80" s="9"/>
      <c r="AP80" s="8"/>
      <c r="AQ80" s="10"/>
      <c r="AR80" s="10"/>
      <c r="AS80" s="8"/>
      <c r="AT80" s="8"/>
      <c r="AU80" s="8"/>
    </row>
    <row r="81" spans="20:47" x14ac:dyDescent="0.4">
      <c r="T81" s="5"/>
      <c r="U81" s="8"/>
      <c r="V81" s="8"/>
      <c r="X81" s="5"/>
      <c r="AB81" s="5"/>
      <c r="AC81" s="8"/>
      <c r="AD81" s="8"/>
      <c r="AE81" s="8"/>
      <c r="AF81" s="8"/>
      <c r="AI81" s="9"/>
      <c r="AN81" s="9"/>
      <c r="AP81" s="8"/>
      <c r="AQ81" s="10"/>
      <c r="AR81" s="10"/>
      <c r="AS81" s="8"/>
      <c r="AT81" s="8"/>
      <c r="AU81" s="8"/>
    </row>
    <row r="82" spans="20:47" x14ac:dyDescent="0.4">
      <c r="T82" s="5"/>
      <c r="U82" s="8"/>
      <c r="V82" s="8"/>
      <c r="X82" s="5"/>
      <c r="AB82" s="5"/>
      <c r="AC82" s="8"/>
      <c r="AD82" s="8"/>
      <c r="AE82" s="8"/>
      <c r="AF82" s="8"/>
      <c r="AI82" s="9"/>
      <c r="AN82" s="9"/>
      <c r="AP82" s="8"/>
      <c r="AQ82" s="10"/>
      <c r="AR82" s="10"/>
      <c r="AS82" s="8"/>
      <c r="AT82" s="8"/>
      <c r="AU82" s="8"/>
    </row>
    <row r="83" spans="20:47" x14ac:dyDescent="0.4">
      <c r="T83" s="5"/>
      <c r="U83" s="8"/>
      <c r="V83" s="8"/>
      <c r="X83" s="5"/>
      <c r="AB83" s="5"/>
      <c r="AC83" s="8"/>
      <c r="AD83" s="8"/>
      <c r="AE83" s="8"/>
      <c r="AF83" s="8"/>
      <c r="AI83" s="9"/>
      <c r="AN83" s="9"/>
      <c r="AP83" s="8"/>
      <c r="AQ83" s="10"/>
      <c r="AR83" s="10"/>
      <c r="AS83" s="8"/>
      <c r="AT83" s="8"/>
      <c r="AU83" s="8"/>
    </row>
    <row r="84" spans="20:47" x14ac:dyDescent="0.4">
      <c r="T84" s="5"/>
      <c r="U84" s="8"/>
      <c r="V84" s="8"/>
      <c r="X84" s="5"/>
      <c r="AB84" s="5"/>
      <c r="AC84" s="8"/>
      <c r="AD84" s="8"/>
      <c r="AE84" s="8"/>
      <c r="AF84" s="8"/>
      <c r="AI84" s="9"/>
      <c r="AN84" s="9"/>
      <c r="AP84" s="8"/>
      <c r="AQ84" s="10"/>
      <c r="AR84" s="10"/>
      <c r="AS84" s="8"/>
      <c r="AT84" s="8"/>
      <c r="AU84" s="8"/>
    </row>
    <row r="85" spans="20:47" x14ac:dyDescent="0.4">
      <c r="T85" s="5"/>
      <c r="U85" s="8"/>
      <c r="V85" s="8"/>
      <c r="X85" s="5"/>
      <c r="AB85" s="5"/>
      <c r="AC85" s="8"/>
      <c r="AD85" s="8"/>
      <c r="AE85" s="8"/>
      <c r="AF85" s="8"/>
      <c r="AI85" s="9"/>
      <c r="AN85" s="9"/>
      <c r="AP85" s="8"/>
      <c r="AQ85" s="10"/>
      <c r="AR85" s="10"/>
      <c r="AS85" s="8"/>
      <c r="AT85" s="8"/>
      <c r="AU85" s="8"/>
    </row>
    <row r="86" spans="20:47" x14ac:dyDescent="0.4">
      <c r="T86" s="5"/>
      <c r="U86" s="8"/>
      <c r="V86" s="8"/>
      <c r="X86" s="5"/>
      <c r="AB86" s="5"/>
      <c r="AC86" s="8"/>
      <c r="AD86" s="8"/>
      <c r="AE86" s="8"/>
      <c r="AF86" s="8"/>
      <c r="AI86" s="9"/>
      <c r="AN86" s="9"/>
      <c r="AP86" s="8"/>
      <c r="AQ86" s="10"/>
      <c r="AR86" s="10"/>
      <c r="AS86" s="8"/>
      <c r="AT86" s="8"/>
      <c r="AU86" s="8"/>
    </row>
    <row r="87" spans="20:47" x14ac:dyDescent="0.4">
      <c r="T87" s="5"/>
      <c r="U87" s="8"/>
      <c r="V87" s="8"/>
      <c r="X87" s="5"/>
      <c r="AB87" s="5"/>
      <c r="AC87" s="8"/>
      <c r="AD87" s="8"/>
      <c r="AE87" s="8"/>
      <c r="AF87" s="8"/>
      <c r="AI87" s="9"/>
      <c r="AN87" s="9"/>
      <c r="AP87" s="8"/>
      <c r="AQ87" s="10"/>
      <c r="AR87" s="10"/>
      <c r="AS87" s="8"/>
      <c r="AT87" s="8"/>
      <c r="AU87" s="8"/>
    </row>
    <row r="88" spans="20:47" x14ac:dyDescent="0.4">
      <c r="T88" s="5"/>
      <c r="U88" s="8"/>
      <c r="V88" s="8"/>
      <c r="X88" s="5"/>
      <c r="AB88" s="5"/>
      <c r="AC88" s="8"/>
      <c r="AD88" s="8"/>
      <c r="AE88" s="8"/>
      <c r="AF88" s="8"/>
      <c r="AI88" s="9"/>
      <c r="AN88" s="9"/>
      <c r="AP88" s="8"/>
      <c r="AQ88" s="10"/>
      <c r="AR88" s="10"/>
      <c r="AS88" s="8"/>
      <c r="AT88" s="8"/>
      <c r="AU88" s="8"/>
    </row>
    <row r="89" spans="20:47" x14ac:dyDescent="0.4">
      <c r="T89" s="5"/>
      <c r="U89" s="8"/>
      <c r="V89" s="8"/>
      <c r="X89" s="5"/>
      <c r="AB89" s="5"/>
      <c r="AC89" s="8"/>
      <c r="AD89" s="8"/>
      <c r="AE89" s="8"/>
      <c r="AF89" s="8"/>
      <c r="AI89" s="9"/>
      <c r="AN89" s="9"/>
      <c r="AP89" s="8"/>
      <c r="AQ89" s="10"/>
      <c r="AR89" s="10"/>
      <c r="AS89" s="8"/>
      <c r="AT89" s="8"/>
      <c r="AU89" s="8"/>
    </row>
    <row r="90" spans="20:47" x14ac:dyDescent="0.4">
      <c r="T90" s="5"/>
      <c r="U90" s="8"/>
      <c r="V90" s="8"/>
      <c r="X90" s="5"/>
      <c r="AB90" s="5"/>
      <c r="AC90" s="8"/>
      <c r="AD90" s="8"/>
      <c r="AE90" s="8"/>
      <c r="AF90" s="8"/>
      <c r="AI90" s="9"/>
      <c r="AN90" s="9"/>
      <c r="AP90" s="8"/>
      <c r="AQ90" s="10"/>
      <c r="AR90" s="10"/>
      <c r="AS90" s="8"/>
      <c r="AT90" s="8"/>
      <c r="AU90" s="8"/>
    </row>
    <row r="91" spans="20:47" x14ac:dyDescent="0.4">
      <c r="T91" s="5"/>
      <c r="U91" s="8"/>
      <c r="V91" s="8"/>
      <c r="X91" s="5"/>
      <c r="AB91" s="5"/>
      <c r="AC91" s="8"/>
      <c r="AD91" s="8"/>
      <c r="AE91" s="8"/>
      <c r="AF91" s="8"/>
      <c r="AI91" s="9"/>
      <c r="AN91" s="9"/>
      <c r="AP91" s="8"/>
      <c r="AQ91" s="10"/>
      <c r="AR91" s="10"/>
      <c r="AS91" s="8"/>
      <c r="AT91" s="8"/>
      <c r="AU91" s="8"/>
    </row>
    <row r="92" spans="20:47" x14ac:dyDescent="0.4">
      <c r="T92" s="5"/>
      <c r="U92" s="8"/>
      <c r="V92" s="8"/>
      <c r="X92" s="5"/>
      <c r="AB92" s="5"/>
      <c r="AC92" s="8"/>
      <c r="AD92" s="8"/>
      <c r="AE92" s="8"/>
      <c r="AF92" s="8"/>
      <c r="AI92" s="9"/>
      <c r="AN92" s="9"/>
      <c r="AP92" s="8"/>
      <c r="AQ92" s="10"/>
      <c r="AR92" s="10"/>
      <c r="AS92" s="8"/>
      <c r="AT92" s="8"/>
      <c r="AU92" s="8"/>
    </row>
    <row r="93" spans="20:47" x14ac:dyDescent="0.4">
      <c r="T93" s="5"/>
      <c r="U93" s="8"/>
      <c r="V93" s="8"/>
      <c r="X93" s="5"/>
      <c r="AB93" s="5"/>
      <c r="AC93" s="8"/>
      <c r="AD93" s="8"/>
      <c r="AE93" s="8"/>
      <c r="AF93" s="8"/>
      <c r="AI93" s="9"/>
      <c r="AN93" s="9"/>
      <c r="AP93" s="8"/>
      <c r="AQ93" s="10"/>
      <c r="AR93" s="10"/>
      <c r="AS93" s="8"/>
      <c r="AT93" s="8"/>
      <c r="AU93" s="8"/>
    </row>
    <row r="94" spans="20:47" x14ac:dyDescent="0.4">
      <c r="T94" s="5"/>
      <c r="U94" s="8"/>
      <c r="V94" s="8"/>
      <c r="X94" s="5"/>
      <c r="AB94" s="5"/>
      <c r="AC94" s="8"/>
      <c r="AD94" s="8"/>
      <c r="AE94" s="8"/>
      <c r="AF94" s="8"/>
      <c r="AI94" s="9"/>
      <c r="AN94" s="9"/>
      <c r="AP94" s="8"/>
      <c r="AQ94" s="10"/>
      <c r="AR94" s="10"/>
      <c r="AS94" s="8"/>
      <c r="AT94" s="8"/>
      <c r="AU94" s="8"/>
    </row>
    <row r="95" spans="20:47" x14ac:dyDescent="0.4">
      <c r="T95" s="5"/>
      <c r="U95" s="8"/>
      <c r="V95" s="8"/>
      <c r="X95" s="5"/>
      <c r="AB95" s="5"/>
      <c r="AC95" s="8"/>
      <c r="AD95" s="8"/>
      <c r="AE95" s="8"/>
      <c r="AF95" s="8"/>
      <c r="AI95" s="9"/>
      <c r="AN95" s="9"/>
      <c r="AP95" s="8"/>
      <c r="AQ95" s="10"/>
      <c r="AR95" s="10"/>
      <c r="AS95" s="8"/>
      <c r="AT95" s="8"/>
      <c r="AU95" s="8"/>
    </row>
    <row r="96" spans="20:47" x14ac:dyDescent="0.4">
      <c r="T96" s="5"/>
      <c r="U96" s="8"/>
      <c r="V96" s="8"/>
      <c r="X96" s="5"/>
      <c r="AB96" s="5"/>
      <c r="AC96" s="8"/>
      <c r="AD96" s="8"/>
      <c r="AE96" s="8"/>
      <c r="AF96" s="8"/>
      <c r="AI96" s="9"/>
      <c r="AN96" s="9"/>
      <c r="AP96" s="8"/>
      <c r="AQ96" s="10"/>
      <c r="AR96" s="10"/>
      <c r="AS96" s="8"/>
      <c r="AT96" s="8"/>
      <c r="AU96" s="8"/>
    </row>
    <row r="97" spans="20:47" x14ac:dyDescent="0.4">
      <c r="T97" s="5"/>
      <c r="U97" s="8"/>
      <c r="V97" s="8"/>
      <c r="X97" s="5"/>
      <c r="AB97" s="5"/>
      <c r="AC97" s="8"/>
      <c r="AD97" s="8"/>
      <c r="AE97" s="8"/>
      <c r="AF97" s="8"/>
      <c r="AI97" s="9"/>
      <c r="AN97" s="9"/>
      <c r="AP97" s="8"/>
      <c r="AQ97" s="10"/>
      <c r="AR97" s="10"/>
      <c r="AS97" s="8"/>
      <c r="AT97" s="8"/>
      <c r="AU97" s="8"/>
    </row>
    <row r="98" spans="20:47" x14ac:dyDescent="0.4">
      <c r="T98" s="5"/>
      <c r="U98" s="8"/>
      <c r="V98" s="8"/>
      <c r="X98" s="5"/>
      <c r="AB98" s="5"/>
      <c r="AC98" s="8"/>
      <c r="AD98" s="8"/>
      <c r="AE98" s="8"/>
      <c r="AF98" s="8"/>
      <c r="AI98" s="9"/>
      <c r="AN98" s="9"/>
      <c r="AP98" s="8"/>
      <c r="AQ98" s="10"/>
      <c r="AR98" s="10"/>
      <c r="AS98" s="8"/>
      <c r="AT98" s="8"/>
      <c r="AU98" s="8"/>
    </row>
    <row r="99" spans="20:47" x14ac:dyDescent="0.4">
      <c r="T99" s="5"/>
      <c r="U99" s="8"/>
      <c r="V99" s="8"/>
      <c r="X99" s="5"/>
      <c r="AB99" s="5"/>
      <c r="AC99" s="8"/>
      <c r="AD99" s="8"/>
      <c r="AE99" s="8"/>
      <c r="AF99" s="8"/>
      <c r="AI99" s="9"/>
      <c r="AN99" s="9"/>
      <c r="AP99" s="8"/>
      <c r="AQ99" s="10"/>
      <c r="AR99" s="10"/>
      <c r="AS99" s="8"/>
      <c r="AT99" s="8"/>
      <c r="AU99" s="8"/>
    </row>
    <row r="100" spans="20:47" x14ac:dyDescent="0.4">
      <c r="T100" s="5"/>
      <c r="U100" s="8"/>
      <c r="V100" s="8"/>
      <c r="X100" s="5"/>
      <c r="AB100" s="5"/>
      <c r="AC100" s="8"/>
      <c r="AD100" s="8"/>
      <c r="AE100" s="8"/>
      <c r="AF100" s="8"/>
      <c r="AI100" s="9"/>
      <c r="AN100" s="9"/>
      <c r="AP100" s="8"/>
      <c r="AQ100" s="10"/>
      <c r="AR100" s="10"/>
      <c r="AS100" s="8"/>
      <c r="AT100" s="8"/>
      <c r="AU100" s="8"/>
    </row>
    <row r="101" spans="20:47" x14ac:dyDescent="0.4">
      <c r="T101" s="5"/>
      <c r="U101" s="8"/>
      <c r="V101" s="8"/>
      <c r="X101" s="5"/>
      <c r="AB101" s="5"/>
      <c r="AC101" s="8"/>
      <c r="AD101" s="8"/>
      <c r="AE101" s="8"/>
      <c r="AF101" s="8"/>
      <c r="AI101" s="9"/>
      <c r="AN101" s="9"/>
      <c r="AP101" s="8"/>
      <c r="AQ101" s="10"/>
      <c r="AR101" s="10"/>
      <c r="AS101" s="8"/>
      <c r="AT101" s="8"/>
      <c r="AU101" s="8"/>
    </row>
    <row r="102" spans="20:47" x14ac:dyDescent="0.4">
      <c r="T102" s="5"/>
      <c r="U102" s="8"/>
      <c r="V102" s="8"/>
      <c r="X102" s="5"/>
      <c r="AB102" s="5"/>
      <c r="AC102" s="8"/>
      <c r="AD102" s="8"/>
      <c r="AE102" s="8"/>
      <c r="AF102" s="8"/>
      <c r="AI102" s="9"/>
      <c r="AN102" s="9"/>
      <c r="AP102" s="8"/>
      <c r="AQ102" s="10"/>
      <c r="AR102" s="10"/>
      <c r="AS102" s="8"/>
      <c r="AT102" s="8"/>
      <c r="AU102" s="8"/>
    </row>
    <row r="103" spans="20:47" x14ac:dyDescent="0.4">
      <c r="T103" s="5"/>
      <c r="U103" s="8"/>
      <c r="V103" s="8"/>
      <c r="X103" s="5"/>
      <c r="AB103" s="5"/>
      <c r="AC103" s="8"/>
      <c r="AD103" s="8"/>
      <c r="AE103" s="8"/>
      <c r="AF103" s="8"/>
      <c r="AI103" s="9"/>
      <c r="AN103" s="9"/>
      <c r="AP103" s="8"/>
      <c r="AQ103" s="10"/>
      <c r="AR103" s="10"/>
      <c r="AS103" s="8"/>
      <c r="AT103" s="8"/>
      <c r="AU103" s="8"/>
    </row>
    <row r="104" spans="20:47" x14ac:dyDescent="0.4">
      <c r="T104" s="5"/>
      <c r="U104" s="8"/>
      <c r="V104" s="8"/>
      <c r="X104" s="5"/>
      <c r="AB104" s="5"/>
      <c r="AC104" s="8"/>
      <c r="AD104" s="8"/>
      <c r="AE104" s="8"/>
      <c r="AF104" s="8"/>
      <c r="AI104" s="9"/>
      <c r="AN104" s="9"/>
      <c r="AP104" s="8"/>
      <c r="AQ104" s="10"/>
      <c r="AR104" s="10"/>
      <c r="AS104" s="8"/>
      <c r="AT104" s="8"/>
      <c r="AU104" s="8"/>
    </row>
    <row r="105" spans="20:47" x14ac:dyDescent="0.4">
      <c r="T105" s="5"/>
      <c r="U105" s="8"/>
      <c r="V105" s="8"/>
      <c r="X105" s="5"/>
      <c r="AB105" s="5"/>
      <c r="AC105" s="8"/>
      <c r="AD105" s="8"/>
      <c r="AE105" s="8"/>
      <c r="AF105" s="8"/>
      <c r="AI105" s="9"/>
      <c r="AN105" s="9"/>
      <c r="AP105" s="8"/>
      <c r="AQ105" s="10"/>
      <c r="AR105" s="10"/>
      <c r="AS105" s="8"/>
      <c r="AT105" s="8"/>
      <c r="AU105" s="8"/>
    </row>
    <row r="106" spans="20:47" x14ac:dyDescent="0.4">
      <c r="T106" s="5"/>
      <c r="U106" s="8"/>
      <c r="V106" s="8"/>
      <c r="X106" s="5"/>
      <c r="AB106" s="5"/>
      <c r="AC106" s="8"/>
      <c r="AD106" s="8"/>
      <c r="AE106" s="8"/>
      <c r="AF106" s="8"/>
      <c r="AI106" s="9"/>
      <c r="AN106" s="9"/>
      <c r="AP106" s="8"/>
      <c r="AQ106" s="10"/>
      <c r="AR106" s="10"/>
      <c r="AS106" s="8"/>
      <c r="AT106" s="8"/>
      <c r="AU106" s="8"/>
    </row>
    <row r="107" spans="20:47" x14ac:dyDescent="0.4">
      <c r="T107" s="5"/>
      <c r="U107" s="8"/>
      <c r="V107" s="8"/>
      <c r="X107" s="5"/>
      <c r="AB107" s="5"/>
      <c r="AC107" s="8"/>
      <c r="AD107" s="8"/>
      <c r="AE107" s="8"/>
      <c r="AF107" s="8"/>
      <c r="AI107" s="9"/>
      <c r="AN107" s="9"/>
      <c r="AP107" s="8"/>
      <c r="AQ107" s="10"/>
      <c r="AR107" s="10"/>
      <c r="AS107" s="8"/>
      <c r="AT107" s="8"/>
      <c r="AU107" s="8"/>
    </row>
    <row r="108" spans="20:47" x14ac:dyDescent="0.4">
      <c r="T108" s="5"/>
      <c r="U108" s="8"/>
      <c r="V108" s="8"/>
      <c r="X108" s="5"/>
      <c r="AB108" s="5"/>
      <c r="AC108" s="8"/>
      <c r="AD108" s="8"/>
      <c r="AE108" s="8"/>
      <c r="AF108" s="8"/>
      <c r="AI108" s="9"/>
      <c r="AN108" s="9"/>
      <c r="AP108" s="8"/>
      <c r="AQ108" s="10"/>
      <c r="AR108" s="10"/>
      <c r="AS108" s="8"/>
      <c r="AT108" s="8"/>
      <c r="AU108" s="8"/>
    </row>
    <row r="109" spans="20:47" x14ac:dyDescent="0.4">
      <c r="T109" s="5"/>
      <c r="U109" s="8"/>
      <c r="V109" s="8"/>
      <c r="X109" s="5"/>
      <c r="AB109" s="5"/>
      <c r="AC109" s="8"/>
      <c r="AD109" s="8"/>
      <c r="AE109" s="8"/>
      <c r="AF109" s="8"/>
      <c r="AI109" s="9"/>
      <c r="AN109" s="9"/>
      <c r="AP109" s="8"/>
      <c r="AQ109" s="10"/>
      <c r="AR109" s="10"/>
      <c r="AS109" s="8"/>
      <c r="AT109" s="8"/>
      <c r="AU109" s="8"/>
    </row>
    <row r="110" spans="20:47" x14ac:dyDescent="0.4">
      <c r="T110" s="5"/>
      <c r="U110" s="8"/>
      <c r="V110" s="8"/>
      <c r="X110" s="5"/>
      <c r="AB110" s="5"/>
      <c r="AC110" s="8"/>
      <c r="AD110" s="8"/>
      <c r="AE110" s="8"/>
      <c r="AF110" s="8"/>
      <c r="AI110" s="9"/>
      <c r="AN110" s="9"/>
      <c r="AP110" s="8"/>
      <c r="AQ110" s="10"/>
      <c r="AR110" s="10"/>
      <c r="AS110" s="8"/>
      <c r="AT110" s="8"/>
      <c r="AU110" s="8"/>
    </row>
    <row r="111" spans="20:47" x14ac:dyDescent="0.4">
      <c r="T111" s="5"/>
      <c r="U111" s="8"/>
      <c r="V111" s="8"/>
      <c r="X111" s="5"/>
      <c r="AB111" s="5"/>
      <c r="AC111" s="8"/>
      <c r="AD111" s="8"/>
      <c r="AE111" s="8"/>
      <c r="AF111" s="8"/>
      <c r="AI111" s="9"/>
      <c r="AN111" s="9"/>
      <c r="AP111" s="8"/>
      <c r="AQ111" s="10"/>
      <c r="AR111" s="10"/>
      <c r="AS111" s="8"/>
      <c r="AT111" s="8"/>
      <c r="AU111" s="8"/>
    </row>
    <row r="112" spans="20:47" x14ac:dyDescent="0.4">
      <c r="T112" s="5"/>
      <c r="U112" s="8"/>
      <c r="V112" s="8"/>
      <c r="X112" s="5"/>
      <c r="AB112" s="5"/>
      <c r="AC112" s="8"/>
      <c r="AD112" s="8"/>
      <c r="AE112" s="8"/>
      <c r="AF112" s="8"/>
      <c r="AI112" s="9"/>
      <c r="AN112" s="9"/>
      <c r="AP112" s="8"/>
      <c r="AQ112" s="10"/>
      <c r="AR112" s="10"/>
      <c r="AS112" s="8"/>
      <c r="AT112" s="8"/>
      <c r="AU112" s="8"/>
    </row>
    <row r="113" spans="20:47" x14ac:dyDescent="0.4">
      <c r="T113" s="5"/>
      <c r="U113" s="8"/>
      <c r="V113" s="8"/>
      <c r="X113" s="5"/>
      <c r="AB113" s="5"/>
      <c r="AC113" s="8"/>
      <c r="AD113" s="8"/>
      <c r="AE113" s="8"/>
      <c r="AF113" s="8"/>
      <c r="AI113" s="9"/>
      <c r="AN113" s="9"/>
      <c r="AP113" s="8"/>
      <c r="AQ113" s="10"/>
      <c r="AR113" s="10"/>
      <c r="AS113" s="8"/>
      <c r="AT113" s="8"/>
      <c r="AU113" s="8"/>
    </row>
    <row r="114" spans="20:47" x14ac:dyDescent="0.4">
      <c r="T114" s="5"/>
      <c r="U114" s="8"/>
      <c r="V114" s="8"/>
      <c r="X114" s="5"/>
      <c r="AB114" s="5"/>
      <c r="AC114" s="8"/>
      <c r="AD114" s="8"/>
      <c r="AE114" s="8"/>
      <c r="AF114" s="8"/>
      <c r="AI114" s="9"/>
      <c r="AN114" s="9"/>
      <c r="AP114" s="8"/>
      <c r="AQ114" s="10"/>
      <c r="AR114" s="10"/>
      <c r="AS114" s="8"/>
      <c r="AT114" s="8"/>
      <c r="AU114" s="8"/>
    </row>
    <row r="115" spans="20:47" x14ac:dyDescent="0.4">
      <c r="T115" s="5"/>
      <c r="U115" s="8"/>
      <c r="V115" s="8"/>
      <c r="X115" s="5"/>
      <c r="AB115" s="5"/>
      <c r="AC115" s="8"/>
      <c r="AD115" s="8"/>
      <c r="AE115" s="8"/>
      <c r="AF115" s="8"/>
      <c r="AI115" s="9"/>
      <c r="AN115" s="9"/>
      <c r="AP115" s="8"/>
      <c r="AQ115" s="10"/>
      <c r="AR115" s="10"/>
      <c r="AS115" s="8"/>
      <c r="AT115" s="8"/>
      <c r="AU115" s="8"/>
    </row>
    <row r="116" spans="20:47" x14ac:dyDescent="0.4">
      <c r="T116" s="5"/>
      <c r="U116" s="8"/>
      <c r="V116" s="8"/>
      <c r="X116" s="5"/>
      <c r="AB116" s="5"/>
      <c r="AC116" s="8"/>
      <c r="AD116" s="8"/>
      <c r="AE116" s="8"/>
      <c r="AF116" s="8"/>
      <c r="AI116" s="9"/>
      <c r="AN116" s="9"/>
      <c r="AP116" s="8"/>
      <c r="AQ116" s="10"/>
      <c r="AR116" s="10"/>
      <c r="AS116" s="8"/>
      <c r="AT116" s="8"/>
      <c r="AU116" s="8"/>
    </row>
    <row r="117" spans="20:47" x14ac:dyDescent="0.4">
      <c r="T117" s="5"/>
      <c r="U117" s="8"/>
      <c r="V117" s="8"/>
      <c r="X117" s="5"/>
      <c r="AB117" s="5"/>
      <c r="AC117" s="8"/>
      <c r="AD117" s="8"/>
      <c r="AE117" s="8"/>
      <c r="AF117" s="8"/>
      <c r="AI117" s="9"/>
      <c r="AN117" s="9"/>
      <c r="AP117" s="8"/>
      <c r="AQ117" s="10"/>
      <c r="AR117" s="10"/>
      <c r="AS117" s="8"/>
      <c r="AT117" s="8"/>
      <c r="AU117" s="8"/>
    </row>
    <row r="118" spans="20:47" x14ac:dyDescent="0.4">
      <c r="T118" s="5"/>
      <c r="U118" s="8"/>
      <c r="V118" s="8"/>
      <c r="X118" s="5"/>
      <c r="AB118" s="5"/>
      <c r="AC118" s="8"/>
      <c r="AD118" s="8"/>
      <c r="AE118" s="8"/>
      <c r="AF118" s="8"/>
      <c r="AI118" s="9"/>
      <c r="AN118" s="9"/>
      <c r="AP118" s="8"/>
      <c r="AQ118" s="10"/>
      <c r="AR118" s="10"/>
      <c r="AS118" s="8"/>
      <c r="AT118" s="8"/>
      <c r="AU118" s="8"/>
    </row>
    <row r="119" spans="20:47" x14ac:dyDescent="0.4">
      <c r="T119" s="5"/>
      <c r="U119" s="8"/>
      <c r="V119" s="8"/>
      <c r="X119" s="5"/>
      <c r="AB119" s="5"/>
      <c r="AC119" s="8"/>
      <c r="AD119" s="8"/>
      <c r="AE119" s="8"/>
      <c r="AF119" s="8"/>
      <c r="AI119" s="9"/>
      <c r="AN119" s="9"/>
      <c r="AP119" s="8"/>
      <c r="AQ119" s="10"/>
      <c r="AR119" s="10"/>
      <c r="AS119" s="8"/>
      <c r="AT119" s="8"/>
      <c r="AU119" s="8"/>
    </row>
    <row r="120" spans="20:47" x14ac:dyDescent="0.4">
      <c r="T120" s="5"/>
      <c r="U120" s="8"/>
      <c r="V120" s="8"/>
      <c r="X120" s="5"/>
      <c r="AB120" s="5"/>
      <c r="AC120" s="8"/>
      <c r="AD120" s="8"/>
      <c r="AE120" s="8"/>
      <c r="AF120" s="8"/>
      <c r="AI120" s="9"/>
      <c r="AN120" s="9"/>
      <c r="AP120" s="8"/>
      <c r="AQ120" s="10"/>
      <c r="AR120" s="10"/>
      <c r="AS120" s="8"/>
      <c r="AT120" s="8"/>
      <c r="AU120" s="8"/>
    </row>
    <row r="121" spans="20:47" x14ac:dyDescent="0.4">
      <c r="T121" s="5"/>
      <c r="U121" s="8"/>
      <c r="V121" s="8"/>
      <c r="X121" s="5"/>
      <c r="AB121" s="5"/>
      <c r="AC121" s="8"/>
      <c r="AD121" s="8"/>
      <c r="AE121" s="8"/>
      <c r="AF121" s="8"/>
      <c r="AI121" s="9"/>
      <c r="AN121" s="9"/>
      <c r="AP121" s="8"/>
      <c r="AQ121" s="10"/>
      <c r="AR121" s="10"/>
      <c r="AS121" s="8"/>
      <c r="AT121" s="8"/>
      <c r="AU121" s="8"/>
    </row>
    <row r="122" spans="20:47" x14ac:dyDescent="0.4">
      <c r="T122" s="5"/>
      <c r="U122" s="8"/>
      <c r="V122" s="8"/>
      <c r="X122" s="5"/>
      <c r="AB122" s="5"/>
      <c r="AC122" s="8"/>
      <c r="AD122" s="8"/>
      <c r="AE122" s="8"/>
      <c r="AF122" s="8"/>
      <c r="AI122" s="9"/>
      <c r="AN122" s="9"/>
      <c r="AP122" s="8"/>
      <c r="AQ122" s="10"/>
      <c r="AR122" s="10"/>
      <c r="AS122" s="8"/>
      <c r="AT122" s="8"/>
      <c r="AU122" s="8"/>
    </row>
    <row r="123" spans="20:47" x14ac:dyDescent="0.4">
      <c r="T123" s="5"/>
      <c r="U123" s="8"/>
      <c r="V123" s="8"/>
      <c r="X123" s="5"/>
      <c r="AB123" s="5"/>
      <c r="AC123" s="8"/>
      <c r="AD123" s="8"/>
      <c r="AE123" s="8"/>
      <c r="AF123" s="8"/>
      <c r="AI123" s="9"/>
      <c r="AN123" s="9"/>
      <c r="AP123" s="8"/>
      <c r="AQ123" s="10"/>
      <c r="AR123" s="10"/>
      <c r="AS123" s="8"/>
      <c r="AT123" s="8"/>
      <c r="AU123" s="8"/>
    </row>
    <row r="124" spans="20:47" x14ac:dyDescent="0.4">
      <c r="T124" s="5"/>
      <c r="U124" s="8"/>
      <c r="V124" s="8"/>
      <c r="X124" s="5"/>
      <c r="AB124" s="5"/>
      <c r="AC124" s="8"/>
      <c r="AD124" s="8"/>
      <c r="AE124" s="8"/>
      <c r="AF124" s="8"/>
      <c r="AI124" s="9"/>
      <c r="AN124" s="9"/>
      <c r="AP124" s="8"/>
      <c r="AQ124" s="10"/>
      <c r="AR124" s="10"/>
      <c r="AS124" s="8"/>
      <c r="AT124" s="8"/>
      <c r="AU124" s="8"/>
    </row>
    <row r="125" spans="20:47" x14ac:dyDescent="0.4">
      <c r="T125" s="5"/>
      <c r="U125" s="8"/>
      <c r="V125" s="8"/>
      <c r="X125" s="5"/>
      <c r="AB125" s="5"/>
      <c r="AC125" s="8"/>
      <c r="AD125" s="8"/>
      <c r="AE125" s="8"/>
      <c r="AF125" s="8"/>
      <c r="AI125" s="9"/>
      <c r="AN125" s="9"/>
      <c r="AP125" s="8"/>
      <c r="AQ125" s="10"/>
      <c r="AR125" s="10"/>
      <c r="AS125" s="8"/>
      <c r="AT125" s="8"/>
      <c r="AU125" s="8"/>
    </row>
    <row r="126" spans="20:47" x14ac:dyDescent="0.4">
      <c r="T126" s="5"/>
      <c r="U126" s="8"/>
      <c r="V126" s="8"/>
      <c r="X126" s="5"/>
      <c r="AB126" s="5"/>
      <c r="AC126" s="8"/>
      <c r="AD126" s="8"/>
      <c r="AE126" s="8"/>
      <c r="AF126" s="8"/>
      <c r="AI126" s="9"/>
      <c r="AN126" s="9"/>
      <c r="AP126" s="8"/>
      <c r="AQ126" s="10"/>
      <c r="AR126" s="10"/>
      <c r="AS126" s="8"/>
      <c r="AT126" s="8"/>
      <c r="AU126" s="8"/>
    </row>
    <row r="127" spans="20:47" x14ac:dyDescent="0.4">
      <c r="T127" s="5"/>
      <c r="U127" s="8"/>
      <c r="V127" s="8"/>
      <c r="X127" s="5"/>
      <c r="AB127" s="5"/>
      <c r="AC127" s="8"/>
      <c r="AD127" s="8"/>
      <c r="AE127" s="8"/>
      <c r="AF127" s="8"/>
      <c r="AI127" s="9"/>
      <c r="AN127" s="9"/>
      <c r="AP127" s="8"/>
      <c r="AQ127" s="10"/>
      <c r="AR127" s="10"/>
      <c r="AS127" s="8"/>
      <c r="AT127" s="8"/>
      <c r="AU127" s="8"/>
    </row>
    <row r="128" spans="20:47" x14ac:dyDescent="0.4">
      <c r="T128" s="5"/>
      <c r="U128" s="8"/>
      <c r="V128" s="8"/>
      <c r="X128" s="5"/>
      <c r="AB128" s="5"/>
      <c r="AC128" s="8"/>
      <c r="AD128" s="8"/>
      <c r="AE128" s="8"/>
      <c r="AF128" s="8"/>
      <c r="AI128" s="9"/>
      <c r="AN128" s="9"/>
      <c r="AP128" s="8"/>
      <c r="AQ128" s="10"/>
      <c r="AR128" s="10"/>
      <c r="AS128" s="8"/>
      <c r="AT128" s="8"/>
      <c r="AU128" s="8"/>
    </row>
    <row r="129" spans="20:47" x14ac:dyDescent="0.4">
      <c r="T129" s="5"/>
      <c r="U129" s="8"/>
      <c r="V129" s="8"/>
      <c r="X129" s="5"/>
      <c r="AB129" s="5"/>
      <c r="AC129" s="8"/>
      <c r="AD129" s="8"/>
      <c r="AE129" s="8"/>
      <c r="AF129" s="8"/>
      <c r="AI129" s="9"/>
      <c r="AN129" s="9"/>
      <c r="AP129" s="8"/>
      <c r="AQ129" s="10"/>
      <c r="AR129" s="10"/>
      <c r="AS129" s="8"/>
      <c r="AT129" s="8"/>
      <c r="AU129" s="8"/>
    </row>
    <row r="130" spans="20:47" x14ac:dyDescent="0.4">
      <c r="T130" s="5"/>
      <c r="U130" s="8"/>
      <c r="V130" s="8"/>
      <c r="X130" s="5"/>
      <c r="AB130" s="5"/>
      <c r="AC130" s="8"/>
      <c r="AD130" s="8"/>
      <c r="AE130" s="8"/>
      <c r="AF130" s="8"/>
      <c r="AI130" s="9"/>
      <c r="AN130" s="9"/>
      <c r="AP130" s="8"/>
      <c r="AQ130" s="10"/>
      <c r="AR130" s="10"/>
      <c r="AS130" s="8"/>
      <c r="AT130" s="8"/>
      <c r="AU130" s="8"/>
    </row>
    <row r="131" spans="20:47" x14ac:dyDescent="0.4">
      <c r="T131" s="5"/>
      <c r="U131" s="8"/>
      <c r="V131" s="8"/>
      <c r="X131" s="5"/>
      <c r="AB131" s="5"/>
      <c r="AC131" s="8"/>
      <c r="AD131" s="8"/>
      <c r="AE131" s="8"/>
      <c r="AF131" s="8"/>
      <c r="AI131" s="9"/>
      <c r="AN131" s="9"/>
      <c r="AP131" s="8"/>
      <c r="AQ131" s="10"/>
      <c r="AR131" s="10"/>
      <c r="AS131" s="8"/>
      <c r="AT131" s="8"/>
      <c r="AU131" s="8"/>
    </row>
    <row r="132" spans="20:47" x14ac:dyDescent="0.4">
      <c r="T132" s="5"/>
      <c r="U132" s="8"/>
      <c r="V132" s="8"/>
      <c r="X132" s="5"/>
      <c r="AB132" s="5"/>
      <c r="AC132" s="8"/>
      <c r="AD132" s="8"/>
      <c r="AE132" s="8"/>
      <c r="AF132" s="8"/>
      <c r="AI132" s="9"/>
      <c r="AN132" s="9"/>
      <c r="AP132" s="8"/>
      <c r="AQ132" s="10"/>
      <c r="AR132" s="10"/>
      <c r="AS132" s="8"/>
      <c r="AT132" s="8"/>
      <c r="AU132" s="8"/>
    </row>
    <row r="133" spans="20:47" x14ac:dyDescent="0.4">
      <c r="T133" s="5"/>
      <c r="U133" s="8"/>
      <c r="V133" s="8"/>
      <c r="X133" s="5"/>
      <c r="AB133" s="5"/>
      <c r="AC133" s="8"/>
      <c r="AD133" s="8"/>
      <c r="AE133" s="8"/>
      <c r="AF133" s="8"/>
      <c r="AI133" s="9"/>
      <c r="AN133" s="9"/>
      <c r="AP133" s="8"/>
      <c r="AQ133" s="10"/>
      <c r="AR133" s="10"/>
      <c r="AS133" s="8"/>
      <c r="AT133" s="8"/>
      <c r="AU133" s="8"/>
    </row>
    <row r="134" spans="20:47" x14ac:dyDescent="0.4">
      <c r="T134" s="5"/>
      <c r="U134" s="8"/>
      <c r="V134" s="8"/>
      <c r="X134" s="5"/>
      <c r="AB134" s="5"/>
      <c r="AC134" s="8"/>
      <c r="AD134" s="8"/>
      <c r="AE134" s="8"/>
      <c r="AF134" s="8"/>
      <c r="AI134" s="9"/>
      <c r="AN134" s="9"/>
      <c r="AP134" s="8"/>
      <c r="AQ134" s="10"/>
      <c r="AR134" s="10"/>
      <c r="AS134" s="8"/>
      <c r="AT134" s="8"/>
      <c r="AU134" s="8"/>
    </row>
    <row r="135" spans="20:47" x14ac:dyDescent="0.4">
      <c r="T135" s="5"/>
      <c r="U135" s="8"/>
      <c r="V135" s="8"/>
      <c r="X135" s="5"/>
      <c r="AB135" s="5"/>
      <c r="AC135" s="8"/>
      <c r="AD135" s="8"/>
      <c r="AE135" s="8"/>
      <c r="AF135" s="8"/>
      <c r="AI135" s="9"/>
      <c r="AN135" s="9"/>
      <c r="AP135" s="8"/>
      <c r="AQ135" s="10"/>
      <c r="AR135" s="10"/>
      <c r="AS135" s="8"/>
      <c r="AT135" s="8"/>
      <c r="AU135" s="8"/>
    </row>
    <row r="136" spans="20:47" x14ac:dyDescent="0.4">
      <c r="T136" s="5"/>
      <c r="U136" s="8"/>
      <c r="V136" s="8"/>
      <c r="X136" s="5"/>
      <c r="AB136" s="5"/>
      <c r="AC136" s="8"/>
      <c r="AD136" s="8"/>
      <c r="AE136" s="8"/>
      <c r="AF136" s="8"/>
      <c r="AI136" s="9"/>
      <c r="AN136" s="9"/>
      <c r="AP136" s="8"/>
      <c r="AQ136" s="10"/>
      <c r="AR136" s="10"/>
      <c r="AS136" s="8"/>
      <c r="AT136" s="8"/>
      <c r="AU136" s="8"/>
    </row>
    <row r="137" spans="20:47" x14ac:dyDescent="0.4">
      <c r="T137" s="5"/>
      <c r="U137" s="8"/>
      <c r="V137" s="8"/>
      <c r="X137" s="5"/>
      <c r="AB137" s="5"/>
      <c r="AC137" s="8"/>
      <c r="AD137" s="8"/>
      <c r="AE137" s="8"/>
      <c r="AF137" s="8"/>
      <c r="AI137" s="9"/>
      <c r="AN137" s="9"/>
      <c r="AP137" s="8"/>
      <c r="AQ137" s="10"/>
      <c r="AR137" s="10"/>
      <c r="AS137" s="8"/>
      <c r="AT137" s="8"/>
      <c r="AU137" s="8"/>
    </row>
    <row r="138" spans="20:47" x14ac:dyDescent="0.4">
      <c r="T138" s="5"/>
      <c r="U138" s="8"/>
      <c r="V138" s="8"/>
      <c r="X138" s="5"/>
      <c r="AB138" s="5"/>
      <c r="AC138" s="8"/>
      <c r="AD138" s="8"/>
      <c r="AE138" s="8"/>
      <c r="AF138" s="8"/>
      <c r="AI138" s="9"/>
      <c r="AN138" s="9"/>
      <c r="AP138" s="8"/>
      <c r="AQ138" s="10"/>
      <c r="AR138" s="10"/>
      <c r="AS138" s="8"/>
      <c r="AT138" s="8"/>
      <c r="AU138" s="8"/>
    </row>
    <row r="139" spans="20:47" x14ac:dyDescent="0.4">
      <c r="T139" s="5"/>
      <c r="U139" s="8"/>
      <c r="V139" s="8"/>
      <c r="X139" s="5"/>
      <c r="AB139" s="5"/>
      <c r="AC139" s="8"/>
      <c r="AD139" s="8"/>
      <c r="AE139" s="8"/>
      <c r="AF139" s="8"/>
      <c r="AI139" s="9"/>
      <c r="AN139" s="9"/>
      <c r="AP139" s="8"/>
      <c r="AQ139" s="10"/>
      <c r="AR139" s="10"/>
      <c r="AS139" s="8"/>
      <c r="AT139" s="8"/>
      <c r="AU139" s="8"/>
    </row>
    <row r="140" spans="20:47" x14ac:dyDescent="0.4">
      <c r="T140" s="5"/>
      <c r="U140" s="8"/>
      <c r="V140" s="8"/>
      <c r="X140" s="5"/>
      <c r="AB140" s="5"/>
      <c r="AC140" s="8"/>
      <c r="AD140" s="8"/>
      <c r="AE140" s="8"/>
      <c r="AF140" s="8"/>
      <c r="AI140" s="9"/>
      <c r="AN140" s="9"/>
      <c r="AP140" s="8"/>
      <c r="AQ140" s="10"/>
      <c r="AR140" s="10"/>
      <c r="AS140" s="8"/>
      <c r="AT140" s="8"/>
      <c r="AU140" s="8"/>
    </row>
    <row r="141" spans="20:47" x14ac:dyDescent="0.4">
      <c r="T141" s="5"/>
      <c r="U141" s="8"/>
      <c r="V141" s="8"/>
      <c r="X141" s="5"/>
      <c r="AB141" s="5"/>
      <c r="AC141" s="8"/>
      <c r="AD141" s="8"/>
      <c r="AE141" s="8"/>
      <c r="AF141" s="8"/>
      <c r="AI141" s="9"/>
      <c r="AN141" s="9"/>
      <c r="AP141" s="8"/>
      <c r="AQ141" s="10"/>
      <c r="AR141" s="10"/>
      <c r="AS141" s="8"/>
      <c r="AT141" s="8"/>
      <c r="AU141" s="8"/>
    </row>
    <row r="142" spans="20:47" x14ac:dyDescent="0.4">
      <c r="T142" s="5"/>
      <c r="U142" s="8"/>
      <c r="V142" s="8"/>
      <c r="X142" s="5"/>
      <c r="AB142" s="5"/>
      <c r="AC142" s="8"/>
      <c r="AD142" s="8"/>
      <c r="AE142" s="8"/>
      <c r="AF142" s="8"/>
      <c r="AI142" s="9"/>
      <c r="AN142" s="9"/>
      <c r="AP142" s="8"/>
      <c r="AQ142" s="10"/>
      <c r="AR142" s="10"/>
      <c r="AS142" s="8"/>
      <c r="AT142" s="8"/>
      <c r="AU142" s="8"/>
    </row>
    <row r="143" spans="20:47" x14ac:dyDescent="0.4">
      <c r="T143" s="5"/>
      <c r="U143" s="8"/>
      <c r="V143" s="8"/>
      <c r="X143" s="5"/>
      <c r="AB143" s="5"/>
      <c r="AC143" s="8"/>
      <c r="AD143" s="8"/>
      <c r="AE143" s="8"/>
      <c r="AF143" s="8"/>
      <c r="AI143" s="9"/>
      <c r="AN143" s="9"/>
      <c r="AP143" s="8"/>
      <c r="AQ143" s="10"/>
      <c r="AR143" s="10"/>
      <c r="AS143" s="8"/>
      <c r="AT143" s="8"/>
      <c r="AU143" s="8"/>
    </row>
    <row r="144" spans="20:47" x14ac:dyDescent="0.4">
      <c r="T144" s="5"/>
      <c r="U144" s="8"/>
      <c r="V144" s="8"/>
      <c r="X144" s="5"/>
      <c r="AB144" s="5"/>
      <c r="AC144" s="8"/>
      <c r="AD144" s="8"/>
      <c r="AE144" s="8"/>
      <c r="AF144" s="8"/>
      <c r="AI144" s="9"/>
      <c r="AN144" s="9"/>
      <c r="AP144" s="8"/>
      <c r="AQ144" s="10"/>
      <c r="AR144" s="10"/>
      <c r="AS144" s="8"/>
      <c r="AT144" s="8"/>
      <c r="AU144" s="8"/>
    </row>
    <row r="145" spans="20:47" x14ac:dyDescent="0.4">
      <c r="T145" s="5"/>
      <c r="U145" s="8"/>
      <c r="V145" s="8"/>
      <c r="X145" s="5"/>
      <c r="AB145" s="5"/>
      <c r="AC145" s="8"/>
      <c r="AD145" s="8"/>
      <c r="AE145" s="8"/>
      <c r="AF145" s="8"/>
      <c r="AI145" s="9"/>
      <c r="AN145" s="9"/>
      <c r="AP145" s="8"/>
      <c r="AQ145" s="10"/>
      <c r="AR145" s="10"/>
      <c r="AS145" s="8"/>
      <c r="AT145" s="8"/>
      <c r="AU145" s="8"/>
    </row>
    <row r="146" spans="20:47" x14ac:dyDescent="0.4">
      <c r="T146" s="5"/>
      <c r="U146" s="8"/>
      <c r="V146" s="8"/>
      <c r="X146" s="5"/>
      <c r="AB146" s="5"/>
      <c r="AC146" s="8"/>
      <c r="AD146" s="8"/>
      <c r="AE146" s="8"/>
      <c r="AF146" s="8"/>
      <c r="AI146" s="9"/>
      <c r="AN146" s="9"/>
      <c r="AP146" s="8"/>
      <c r="AQ146" s="10"/>
      <c r="AR146" s="10"/>
      <c r="AS146" s="8"/>
      <c r="AT146" s="8"/>
      <c r="AU146" s="8"/>
    </row>
    <row r="147" spans="20:47" x14ac:dyDescent="0.4">
      <c r="T147" s="5"/>
      <c r="U147" s="8"/>
      <c r="V147" s="8"/>
      <c r="X147" s="5"/>
      <c r="AB147" s="5"/>
      <c r="AC147" s="8"/>
      <c r="AD147" s="8"/>
      <c r="AE147" s="8"/>
      <c r="AF147" s="8"/>
      <c r="AI147" s="9"/>
      <c r="AN147" s="9"/>
      <c r="AP147" s="8"/>
      <c r="AQ147" s="10"/>
      <c r="AR147" s="10"/>
      <c r="AS147" s="8"/>
      <c r="AT147" s="8"/>
      <c r="AU147" s="8"/>
    </row>
    <row r="148" spans="20:47" x14ac:dyDescent="0.4">
      <c r="T148" s="5"/>
      <c r="U148" s="8"/>
      <c r="V148" s="8"/>
      <c r="X148" s="5"/>
      <c r="AB148" s="5"/>
      <c r="AC148" s="8"/>
      <c r="AD148" s="8"/>
      <c r="AE148" s="8"/>
      <c r="AF148" s="8"/>
      <c r="AI148" s="9"/>
      <c r="AN148" s="9"/>
      <c r="AP148" s="8"/>
      <c r="AQ148" s="10"/>
      <c r="AR148" s="10"/>
      <c r="AS148" s="8"/>
      <c r="AT148" s="8"/>
      <c r="AU148" s="8"/>
    </row>
    <row r="149" spans="20:47" x14ac:dyDescent="0.4">
      <c r="T149" s="5"/>
      <c r="U149" s="8"/>
      <c r="V149" s="8"/>
      <c r="X149" s="5"/>
      <c r="AB149" s="5"/>
      <c r="AC149" s="8"/>
      <c r="AD149" s="8"/>
      <c r="AE149" s="8"/>
      <c r="AF149" s="8"/>
      <c r="AI149" s="9"/>
      <c r="AN149" s="9"/>
      <c r="AP149" s="8"/>
      <c r="AQ149" s="10"/>
      <c r="AR149" s="10"/>
      <c r="AS149" s="8"/>
      <c r="AT149" s="8"/>
      <c r="AU149" s="8"/>
    </row>
    <row r="150" spans="20:47" x14ac:dyDescent="0.4">
      <c r="T150" s="5"/>
      <c r="U150" s="8"/>
      <c r="V150" s="8"/>
      <c r="X150" s="5"/>
      <c r="AB150" s="5"/>
      <c r="AC150" s="8"/>
      <c r="AD150" s="8"/>
      <c r="AE150" s="8"/>
      <c r="AF150" s="8"/>
      <c r="AI150" s="9"/>
      <c r="AN150" s="9"/>
      <c r="AP150" s="8"/>
      <c r="AQ150" s="10"/>
      <c r="AR150" s="10"/>
      <c r="AS150" s="8"/>
      <c r="AT150" s="8"/>
      <c r="AU150" s="8"/>
    </row>
    <row r="151" spans="20:47" x14ac:dyDescent="0.4">
      <c r="T151" s="5"/>
      <c r="U151" s="8"/>
      <c r="V151" s="8"/>
      <c r="X151" s="5"/>
      <c r="AB151" s="5"/>
      <c r="AC151" s="8"/>
      <c r="AD151" s="8"/>
      <c r="AE151" s="8"/>
      <c r="AF151" s="8"/>
      <c r="AI151" s="9"/>
      <c r="AN151" s="9"/>
      <c r="AP151" s="8"/>
      <c r="AQ151" s="10"/>
      <c r="AR151" s="10"/>
      <c r="AS151" s="8"/>
      <c r="AT151" s="8"/>
      <c r="AU151" s="8"/>
    </row>
    <row r="152" spans="20:47" x14ac:dyDescent="0.4">
      <c r="T152" s="5"/>
      <c r="U152" s="8"/>
      <c r="V152" s="8"/>
      <c r="X152" s="5"/>
      <c r="AB152" s="5"/>
      <c r="AC152" s="8"/>
      <c r="AD152" s="8"/>
      <c r="AE152" s="8"/>
      <c r="AF152" s="8"/>
      <c r="AI152" s="9"/>
      <c r="AN152" s="9"/>
      <c r="AP152" s="8"/>
      <c r="AQ152" s="10"/>
      <c r="AR152" s="10"/>
      <c r="AS152" s="8"/>
      <c r="AT152" s="8"/>
      <c r="AU152" s="8"/>
    </row>
    <row r="153" spans="20:47" x14ac:dyDescent="0.4">
      <c r="T153" s="5"/>
      <c r="U153" s="8"/>
      <c r="V153" s="8"/>
      <c r="X153" s="5"/>
      <c r="AB153" s="5"/>
      <c r="AC153" s="8"/>
      <c r="AD153" s="8"/>
      <c r="AE153" s="8"/>
      <c r="AF153" s="8"/>
      <c r="AI153" s="9"/>
      <c r="AN153" s="9"/>
      <c r="AP153" s="8"/>
      <c r="AQ153" s="10"/>
      <c r="AR153" s="10"/>
      <c r="AS153" s="8"/>
      <c r="AT153" s="8"/>
      <c r="AU153" s="8"/>
    </row>
    <row r="154" spans="20:47" x14ac:dyDescent="0.4">
      <c r="T154" s="5"/>
      <c r="U154" s="8"/>
      <c r="V154" s="8"/>
      <c r="X154" s="5"/>
      <c r="AB154" s="5"/>
      <c r="AC154" s="8"/>
      <c r="AD154" s="8"/>
      <c r="AE154" s="8"/>
      <c r="AF154" s="8"/>
      <c r="AI154" s="9"/>
      <c r="AN154" s="9"/>
      <c r="AP154" s="8"/>
      <c r="AQ154" s="10"/>
      <c r="AR154" s="10"/>
      <c r="AS154" s="8"/>
      <c r="AT154" s="8"/>
      <c r="AU154" s="8"/>
    </row>
    <row r="155" spans="20:47" x14ac:dyDescent="0.4">
      <c r="T155" s="5"/>
      <c r="U155" s="8"/>
      <c r="V155" s="8"/>
      <c r="X155" s="5"/>
      <c r="AB155" s="5"/>
      <c r="AC155" s="8"/>
      <c r="AD155" s="8"/>
      <c r="AE155" s="8"/>
      <c r="AF155" s="8"/>
      <c r="AI155" s="9"/>
      <c r="AN155" s="9"/>
      <c r="AP155" s="8"/>
      <c r="AQ155" s="10"/>
      <c r="AR155" s="10"/>
      <c r="AS155" s="8"/>
      <c r="AT155" s="8"/>
      <c r="AU155" s="8"/>
    </row>
    <row r="156" spans="20:47" x14ac:dyDescent="0.4">
      <c r="T156" s="5"/>
      <c r="U156" s="8"/>
      <c r="V156" s="8"/>
      <c r="X156" s="5"/>
      <c r="AB156" s="5"/>
      <c r="AC156" s="8"/>
      <c r="AD156" s="8"/>
      <c r="AE156" s="8"/>
      <c r="AF156" s="8"/>
      <c r="AI156" s="9"/>
      <c r="AN156" s="9"/>
      <c r="AP156" s="8"/>
      <c r="AQ156" s="10"/>
      <c r="AR156" s="10"/>
      <c r="AS156" s="8"/>
      <c r="AT156" s="8"/>
      <c r="AU156" s="8"/>
    </row>
    <row r="157" spans="20:47" x14ac:dyDescent="0.4">
      <c r="T157" s="5"/>
      <c r="U157" s="8"/>
      <c r="V157" s="8"/>
      <c r="X157" s="5"/>
      <c r="AB157" s="5"/>
      <c r="AC157" s="8"/>
      <c r="AD157" s="8"/>
      <c r="AE157" s="8"/>
      <c r="AF157" s="8"/>
      <c r="AI157" s="9"/>
      <c r="AN157" s="9"/>
      <c r="AP157" s="8"/>
      <c r="AQ157" s="10"/>
      <c r="AR157" s="10"/>
      <c r="AS157" s="8"/>
      <c r="AT157" s="8"/>
      <c r="AU157" s="8"/>
    </row>
    <row r="158" spans="20:47" x14ac:dyDescent="0.4">
      <c r="T158" s="5"/>
      <c r="U158" s="8"/>
      <c r="V158" s="8"/>
      <c r="X158" s="5"/>
      <c r="AB158" s="5"/>
      <c r="AC158" s="8"/>
      <c r="AD158" s="8"/>
      <c r="AE158" s="8"/>
      <c r="AF158" s="8"/>
      <c r="AI158" s="9"/>
      <c r="AN158" s="9"/>
      <c r="AP158" s="8"/>
      <c r="AQ158" s="10"/>
      <c r="AR158" s="10"/>
      <c r="AS158" s="8"/>
      <c r="AT158" s="8"/>
      <c r="AU158" s="8"/>
    </row>
    <row r="159" spans="20:47" x14ac:dyDescent="0.4">
      <c r="T159" s="5"/>
      <c r="U159" s="8"/>
      <c r="V159" s="8"/>
      <c r="X159" s="5"/>
      <c r="AB159" s="5"/>
      <c r="AC159" s="8"/>
      <c r="AD159" s="8"/>
      <c r="AE159" s="8"/>
      <c r="AF159" s="8"/>
      <c r="AI159" s="9"/>
      <c r="AN159" s="9"/>
      <c r="AP159" s="8"/>
      <c r="AQ159" s="10"/>
      <c r="AR159" s="10"/>
      <c r="AS159" s="8"/>
      <c r="AT159" s="8"/>
      <c r="AU159" s="8"/>
    </row>
    <row r="160" spans="20:47" x14ac:dyDescent="0.4">
      <c r="T160" s="5"/>
      <c r="U160" s="8"/>
      <c r="V160" s="8"/>
      <c r="X160" s="5"/>
      <c r="AB160" s="5"/>
      <c r="AC160" s="8"/>
      <c r="AD160" s="8"/>
      <c r="AE160" s="8"/>
      <c r="AF160" s="8"/>
      <c r="AI160" s="9"/>
      <c r="AN160" s="9"/>
      <c r="AP160" s="8"/>
      <c r="AQ160" s="10"/>
      <c r="AR160" s="10"/>
      <c r="AS160" s="8"/>
      <c r="AT160" s="8"/>
      <c r="AU160" s="8"/>
    </row>
    <row r="161" spans="20:47" x14ac:dyDescent="0.4">
      <c r="T161" s="5"/>
      <c r="U161" s="8"/>
      <c r="V161" s="8"/>
      <c r="X161" s="5"/>
      <c r="AB161" s="5"/>
      <c r="AC161" s="8"/>
      <c r="AD161" s="8"/>
      <c r="AE161" s="8"/>
      <c r="AF161" s="8"/>
      <c r="AI161" s="9"/>
      <c r="AN161" s="9"/>
      <c r="AP161" s="8"/>
      <c r="AQ161" s="10"/>
      <c r="AR161" s="10"/>
      <c r="AS161" s="8"/>
      <c r="AT161" s="8"/>
      <c r="AU161" s="8"/>
    </row>
    <row r="162" spans="20:47" x14ac:dyDescent="0.4">
      <c r="T162" s="5"/>
      <c r="U162" s="8"/>
      <c r="V162" s="8"/>
      <c r="X162" s="5"/>
      <c r="AB162" s="5"/>
      <c r="AC162" s="8"/>
      <c r="AD162" s="8"/>
      <c r="AE162" s="8"/>
      <c r="AF162" s="8"/>
      <c r="AI162" s="9"/>
      <c r="AN162" s="9"/>
      <c r="AP162" s="8"/>
      <c r="AQ162" s="10"/>
      <c r="AR162" s="10"/>
      <c r="AS162" s="8"/>
      <c r="AT162" s="8"/>
      <c r="AU162" s="8"/>
    </row>
    <row r="163" spans="20:47" x14ac:dyDescent="0.4">
      <c r="T163" s="5"/>
      <c r="U163" s="8"/>
      <c r="V163" s="8"/>
      <c r="X163" s="5"/>
      <c r="AB163" s="5"/>
      <c r="AC163" s="8"/>
      <c r="AD163" s="8"/>
      <c r="AE163" s="8"/>
      <c r="AF163" s="8"/>
      <c r="AI163" s="9"/>
      <c r="AN163" s="9"/>
      <c r="AP163" s="8"/>
      <c r="AQ163" s="10"/>
      <c r="AR163" s="10"/>
      <c r="AS163" s="8"/>
      <c r="AT163" s="8"/>
      <c r="AU163" s="8"/>
    </row>
    <row r="164" spans="20:47" x14ac:dyDescent="0.4">
      <c r="T164" s="5"/>
      <c r="U164" s="8"/>
      <c r="V164" s="8"/>
      <c r="X164" s="5"/>
      <c r="AB164" s="5"/>
      <c r="AC164" s="8"/>
      <c r="AD164" s="8"/>
      <c r="AE164" s="8"/>
      <c r="AF164" s="8"/>
      <c r="AI164" s="9"/>
      <c r="AN164" s="9"/>
      <c r="AP164" s="8"/>
      <c r="AQ164" s="10"/>
      <c r="AR164" s="10"/>
      <c r="AS164" s="8"/>
      <c r="AT164" s="8"/>
      <c r="AU164" s="8"/>
    </row>
    <row r="165" spans="20:47" x14ac:dyDescent="0.4">
      <c r="T165" s="5"/>
      <c r="U165" s="8"/>
      <c r="V165" s="8"/>
      <c r="X165" s="5"/>
      <c r="AB165" s="5"/>
      <c r="AC165" s="8"/>
      <c r="AD165" s="8"/>
      <c r="AE165" s="8"/>
      <c r="AF165" s="8"/>
      <c r="AI165" s="9"/>
      <c r="AN165" s="9"/>
      <c r="AP165" s="8"/>
      <c r="AQ165" s="10"/>
      <c r="AR165" s="10"/>
      <c r="AS165" s="8"/>
      <c r="AT165" s="8"/>
      <c r="AU165" s="8"/>
    </row>
    <row r="166" spans="20:47" x14ac:dyDescent="0.4">
      <c r="T166" s="5"/>
      <c r="U166" s="8"/>
      <c r="V166" s="8"/>
      <c r="X166" s="5"/>
      <c r="AB166" s="5"/>
      <c r="AC166" s="8"/>
      <c r="AD166" s="8"/>
      <c r="AE166" s="8"/>
      <c r="AF166" s="8"/>
      <c r="AI166" s="9"/>
      <c r="AN166" s="9"/>
      <c r="AP166" s="8"/>
      <c r="AQ166" s="10"/>
      <c r="AR166" s="10"/>
      <c r="AS166" s="8"/>
      <c r="AT166" s="8"/>
      <c r="AU166" s="8"/>
    </row>
    <row r="167" spans="20:47" x14ac:dyDescent="0.4">
      <c r="T167" s="5"/>
      <c r="U167" s="8"/>
      <c r="V167" s="8"/>
      <c r="X167" s="5"/>
      <c r="AB167" s="5"/>
      <c r="AC167" s="8"/>
      <c r="AD167" s="8"/>
      <c r="AE167" s="8"/>
      <c r="AF167" s="8"/>
      <c r="AI167" s="9"/>
      <c r="AN167" s="9"/>
      <c r="AP167" s="8"/>
      <c r="AQ167" s="10"/>
      <c r="AR167" s="10"/>
      <c r="AS167" s="8"/>
      <c r="AT167" s="8"/>
      <c r="AU167" s="8"/>
    </row>
    <row r="168" spans="20:47" x14ac:dyDescent="0.4">
      <c r="T168" s="5"/>
      <c r="U168" s="8"/>
      <c r="V168" s="8"/>
      <c r="X168" s="5"/>
      <c r="AB168" s="5"/>
      <c r="AC168" s="8"/>
      <c r="AD168" s="8"/>
      <c r="AE168" s="8"/>
      <c r="AF168" s="8"/>
      <c r="AI168" s="9"/>
      <c r="AN168" s="9"/>
      <c r="AP168" s="8"/>
      <c r="AQ168" s="10"/>
      <c r="AR168" s="10"/>
      <c r="AS168" s="8"/>
      <c r="AT168" s="8"/>
      <c r="AU168" s="8"/>
    </row>
    <row r="169" spans="20:47" x14ac:dyDescent="0.4">
      <c r="T169" s="5"/>
      <c r="U169" s="8"/>
      <c r="V169" s="8"/>
      <c r="X169" s="5"/>
      <c r="AB169" s="5"/>
      <c r="AC169" s="8"/>
      <c r="AD169" s="8"/>
      <c r="AE169" s="8"/>
      <c r="AF169" s="8"/>
      <c r="AI169" s="9"/>
      <c r="AN169" s="9"/>
      <c r="AP169" s="8"/>
      <c r="AQ169" s="10"/>
      <c r="AR169" s="10"/>
      <c r="AS169" s="8"/>
      <c r="AT169" s="8"/>
      <c r="AU169" s="8"/>
    </row>
    <row r="170" spans="20:47" x14ac:dyDescent="0.4">
      <c r="T170" s="5"/>
      <c r="U170" s="8"/>
      <c r="V170" s="8"/>
      <c r="X170" s="5"/>
      <c r="AB170" s="5"/>
      <c r="AC170" s="8"/>
      <c r="AD170" s="8"/>
      <c r="AE170" s="8"/>
      <c r="AF170" s="8"/>
      <c r="AI170" s="9"/>
      <c r="AN170" s="9"/>
      <c r="AP170" s="8"/>
      <c r="AQ170" s="10"/>
      <c r="AR170" s="10"/>
      <c r="AS170" s="8"/>
      <c r="AT170" s="8"/>
      <c r="AU170" s="8"/>
    </row>
    <row r="171" spans="20:47" x14ac:dyDescent="0.4">
      <c r="T171" s="5"/>
      <c r="U171" s="8"/>
      <c r="V171" s="8"/>
      <c r="X171" s="5"/>
      <c r="AB171" s="5"/>
      <c r="AC171" s="8"/>
      <c r="AD171" s="8"/>
      <c r="AE171" s="8"/>
      <c r="AF171" s="8"/>
      <c r="AI171" s="9"/>
      <c r="AN171" s="9"/>
      <c r="AP171" s="8"/>
      <c r="AQ171" s="10"/>
      <c r="AR171" s="10"/>
      <c r="AS171" s="8"/>
      <c r="AT171" s="8"/>
      <c r="AU171" s="8"/>
    </row>
    <row r="172" spans="20:47" x14ac:dyDescent="0.4">
      <c r="T172" s="5"/>
      <c r="U172" s="8"/>
      <c r="V172" s="8"/>
      <c r="X172" s="5"/>
      <c r="AB172" s="5"/>
      <c r="AC172" s="8"/>
      <c r="AD172" s="8"/>
      <c r="AE172" s="8"/>
      <c r="AF172" s="8"/>
      <c r="AI172" s="9"/>
      <c r="AN172" s="9"/>
      <c r="AP172" s="8"/>
      <c r="AQ172" s="10"/>
      <c r="AR172" s="10"/>
      <c r="AS172" s="8"/>
      <c r="AT172" s="8"/>
      <c r="AU172" s="8"/>
    </row>
    <row r="173" spans="20:47" x14ac:dyDescent="0.4">
      <c r="T173" s="5"/>
      <c r="U173" s="8"/>
      <c r="V173" s="8"/>
      <c r="X173" s="5"/>
      <c r="AB173" s="5"/>
      <c r="AC173" s="8"/>
      <c r="AD173" s="8"/>
      <c r="AE173" s="8"/>
      <c r="AF173" s="8"/>
      <c r="AI173" s="9"/>
      <c r="AN173" s="9"/>
      <c r="AP173" s="8"/>
      <c r="AQ173" s="10"/>
      <c r="AR173" s="10"/>
      <c r="AS173" s="8"/>
      <c r="AT173" s="8"/>
      <c r="AU173" s="8"/>
    </row>
    <row r="174" spans="20:47" x14ac:dyDescent="0.4">
      <c r="T174" s="5"/>
      <c r="U174" s="8"/>
      <c r="V174" s="8"/>
      <c r="X174" s="5"/>
      <c r="AB174" s="5"/>
      <c r="AC174" s="8"/>
      <c r="AD174" s="8"/>
      <c r="AE174" s="8"/>
      <c r="AF174" s="8"/>
      <c r="AI174" s="9"/>
      <c r="AN174" s="9"/>
      <c r="AP174" s="8"/>
      <c r="AQ174" s="10"/>
      <c r="AR174" s="10"/>
      <c r="AS174" s="8"/>
      <c r="AT174" s="8"/>
      <c r="AU174" s="8"/>
    </row>
    <row r="175" spans="20:47" x14ac:dyDescent="0.4">
      <c r="T175" s="5"/>
      <c r="U175" s="8"/>
      <c r="V175" s="8"/>
      <c r="X175" s="5"/>
      <c r="AB175" s="5"/>
      <c r="AC175" s="8"/>
      <c r="AD175" s="8"/>
      <c r="AE175" s="8"/>
      <c r="AF175" s="8"/>
      <c r="AI175" s="9"/>
      <c r="AN175" s="9"/>
      <c r="AP175" s="8"/>
      <c r="AQ175" s="10"/>
      <c r="AR175" s="10"/>
      <c r="AS175" s="8"/>
      <c r="AT175" s="8"/>
      <c r="AU175" s="8"/>
    </row>
    <row r="176" spans="20:47" x14ac:dyDescent="0.4">
      <c r="T176" s="5"/>
      <c r="U176" s="8"/>
      <c r="V176" s="8"/>
      <c r="X176" s="5"/>
      <c r="AB176" s="5"/>
      <c r="AC176" s="8"/>
      <c r="AD176" s="8"/>
      <c r="AE176" s="8"/>
      <c r="AF176" s="8"/>
      <c r="AI176" s="9"/>
      <c r="AN176" s="9"/>
      <c r="AP176" s="8"/>
      <c r="AQ176" s="10"/>
      <c r="AR176" s="10"/>
      <c r="AS176" s="8"/>
      <c r="AT176" s="8"/>
      <c r="AU176" s="8"/>
    </row>
    <row r="177" spans="20:47" x14ac:dyDescent="0.4">
      <c r="T177" s="5"/>
      <c r="U177" s="8"/>
      <c r="V177" s="8"/>
      <c r="X177" s="5"/>
      <c r="AB177" s="5"/>
      <c r="AC177" s="8"/>
      <c r="AD177" s="8"/>
      <c r="AE177" s="8"/>
      <c r="AF177" s="8"/>
      <c r="AI177" s="9"/>
      <c r="AN177" s="9"/>
      <c r="AP177" s="8"/>
      <c r="AQ177" s="10"/>
      <c r="AR177" s="10"/>
      <c r="AS177" s="8"/>
      <c r="AT177" s="8"/>
      <c r="AU177" s="8"/>
    </row>
    <row r="178" spans="20:47" x14ac:dyDescent="0.4">
      <c r="T178" s="5"/>
      <c r="U178" s="8"/>
      <c r="V178" s="8"/>
      <c r="X178" s="5"/>
      <c r="AB178" s="5"/>
      <c r="AC178" s="8"/>
      <c r="AD178" s="8"/>
      <c r="AE178" s="8"/>
      <c r="AF178" s="8"/>
      <c r="AI178" s="9"/>
      <c r="AN178" s="9"/>
      <c r="AP178" s="8"/>
      <c r="AQ178" s="10"/>
      <c r="AR178" s="10"/>
      <c r="AS178" s="8"/>
      <c r="AT178" s="8"/>
      <c r="AU178" s="8"/>
    </row>
    <row r="179" spans="20:47" x14ac:dyDescent="0.4">
      <c r="T179" s="5"/>
      <c r="U179" s="8"/>
      <c r="V179" s="8"/>
      <c r="X179" s="5"/>
      <c r="AB179" s="5"/>
      <c r="AC179" s="8"/>
      <c r="AD179" s="8"/>
      <c r="AE179" s="8"/>
      <c r="AF179" s="8"/>
      <c r="AI179" s="9"/>
      <c r="AN179" s="9"/>
      <c r="AP179" s="8"/>
      <c r="AQ179" s="10"/>
      <c r="AR179" s="10"/>
      <c r="AS179" s="8"/>
      <c r="AT179" s="8"/>
      <c r="AU179" s="8"/>
    </row>
    <row r="180" spans="20:47" x14ac:dyDescent="0.4">
      <c r="T180" s="5"/>
      <c r="U180" s="8"/>
      <c r="V180" s="8"/>
      <c r="X180" s="5"/>
      <c r="AB180" s="5"/>
      <c r="AC180" s="8"/>
      <c r="AD180" s="8"/>
      <c r="AE180" s="8"/>
      <c r="AF180" s="8"/>
      <c r="AI180" s="9"/>
      <c r="AN180" s="9"/>
      <c r="AP180" s="8"/>
      <c r="AQ180" s="10"/>
      <c r="AR180" s="10"/>
      <c r="AS180" s="8"/>
      <c r="AT180" s="8"/>
      <c r="AU180" s="8"/>
    </row>
    <row r="181" spans="20:47" x14ac:dyDescent="0.4">
      <c r="T181" s="5"/>
      <c r="U181" s="8"/>
      <c r="V181" s="8"/>
      <c r="X181" s="5"/>
      <c r="AB181" s="5"/>
      <c r="AC181" s="8"/>
      <c r="AD181" s="8"/>
      <c r="AE181" s="8"/>
      <c r="AF181" s="8"/>
      <c r="AI181" s="9"/>
      <c r="AN181" s="9"/>
      <c r="AP181" s="8"/>
      <c r="AQ181" s="10"/>
      <c r="AR181" s="10"/>
      <c r="AS181" s="8"/>
      <c r="AT181" s="8"/>
      <c r="AU181" s="8"/>
    </row>
    <row r="182" spans="20:47" x14ac:dyDescent="0.4">
      <c r="T182" s="5"/>
      <c r="U182" s="8"/>
      <c r="V182" s="8"/>
      <c r="X182" s="5"/>
      <c r="AB182" s="5"/>
      <c r="AC182" s="8"/>
      <c r="AD182" s="8"/>
      <c r="AE182" s="8"/>
      <c r="AF182" s="8"/>
      <c r="AI182" s="9"/>
      <c r="AN182" s="9"/>
      <c r="AP182" s="8"/>
      <c r="AQ182" s="10"/>
      <c r="AR182" s="10"/>
      <c r="AS182" s="8"/>
      <c r="AT182" s="8"/>
      <c r="AU182" s="8"/>
    </row>
    <row r="183" spans="20:47" x14ac:dyDescent="0.4">
      <c r="T183" s="5"/>
      <c r="U183" s="8"/>
      <c r="V183" s="8"/>
      <c r="X183" s="5"/>
      <c r="AB183" s="5"/>
      <c r="AC183" s="8"/>
      <c r="AD183" s="8"/>
      <c r="AE183" s="8"/>
      <c r="AF183" s="8"/>
      <c r="AI183" s="9"/>
      <c r="AN183" s="9"/>
      <c r="AP183" s="8"/>
      <c r="AQ183" s="10"/>
      <c r="AR183" s="10"/>
      <c r="AS183" s="8"/>
      <c r="AT183" s="8"/>
      <c r="AU183" s="8"/>
    </row>
    <row r="184" spans="20:47" x14ac:dyDescent="0.4">
      <c r="T184" s="5"/>
      <c r="U184" s="8"/>
      <c r="V184" s="8"/>
      <c r="X184" s="5"/>
      <c r="AB184" s="5"/>
      <c r="AC184" s="8"/>
      <c r="AD184" s="8"/>
      <c r="AE184" s="8"/>
      <c r="AF184" s="8"/>
      <c r="AI184" s="9"/>
      <c r="AN184" s="9"/>
      <c r="AP184" s="8"/>
      <c r="AQ184" s="10"/>
      <c r="AR184" s="10"/>
      <c r="AS184" s="8"/>
      <c r="AT184" s="8"/>
      <c r="AU184" s="8"/>
    </row>
    <row r="185" spans="20:47" x14ac:dyDescent="0.4">
      <c r="T185" s="5"/>
      <c r="U185" s="8"/>
      <c r="V185" s="8"/>
      <c r="X185" s="5"/>
      <c r="AB185" s="5"/>
      <c r="AC185" s="8"/>
      <c r="AD185" s="8"/>
      <c r="AE185" s="8"/>
      <c r="AF185" s="8"/>
      <c r="AI185" s="9"/>
      <c r="AN185" s="9"/>
      <c r="AP185" s="8"/>
      <c r="AQ185" s="10"/>
      <c r="AR185" s="10"/>
      <c r="AS185" s="8"/>
      <c r="AT185" s="8"/>
      <c r="AU185" s="8"/>
    </row>
    <row r="186" spans="20:47" x14ac:dyDescent="0.4">
      <c r="T186" s="5"/>
      <c r="U186" s="8"/>
      <c r="V186" s="8"/>
      <c r="X186" s="5"/>
      <c r="AB186" s="5"/>
      <c r="AC186" s="8"/>
      <c r="AD186" s="8"/>
      <c r="AE186" s="8"/>
      <c r="AF186" s="8"/>
      <c r="AI186" s="9"/>
      <c r="AN186" s="9"/>
      <c r="AP186" s="8"/>
      <c r="AQ186" s="10"/>
      <c r="AR186" s="10"/>
      <c r="AS186" s="8"/>
      <c r="AT186" s="8"/>
      <c r="AU186" s="8"/>
    </row>
    <row r="187" spans="20:47" x14ac:dyDescent="0.4">
      <c r="T187" s="5"/>
      <c r="U187" s="8"/>
      <c r="V187" s="8"/>
      <c r="X187" s="5"/>
      <c r="AB187" s="5"/>
      <c r="AC187" s="8"/>
      <c r="AD187" s="8"/>
      <c r="AE187" s="8"/>
      <c r="AF187" s="8"/>
      <c r="AI187" s="9"/>
      <c r="AN187" s="9"/>
      <c r="AP187" s="8"/>
      <c r="AQ187" s="10"/>
      <c r="AR187" s="10"/>
      <c r="AS187" s="8"/>
      <c r="AT187" s="8"/>
      <c r="AU187" s="8"/>
    </row>
    <row r="188" spans="20:47" x14ac:dyDescent="0.4">
      <c r="T188" s="5"/>
      <c r="U188" s="8"/>
      <c r="V188" s="8"/>
      <c r="X188" s="5"/>
      <c r="AB188" s="5"/>
      <c r="AC188" s="8"/>
      <c r="AD188" s="8"/>
      <c r="AE188" s="8"/>
      <c r="AF188" s="8"/>
      <c r="AI188" s="9"/>
      <c r="AN188" s="9"/>
      <c r="AP188" s="8"/>
      <c r="AQ188" s="10"/>
      <c r="AR188" s="10"/>
      <c r="AS188" s="8"/>
      <c r="AT188" s="8"/>
      <c r="AU188" s="8"/>
    </row>
    <row r="189" spans="20:47" x14ac:dyDescent="0.4">
      <c r="T189" s="5"/>
      <c r="U189" s="8"/>
      <c r="V189" s="8"/>
      <c r="X189" s="5"/>
      <c r="AB189" s="5"/>
      <c r="AC189" s="8"/>
      <c r="AD189" s="8"/>
      <c r="AE189" s="8"/>
      <c r="AF189" s="8"/>
      <c r="AI189" s="9"/>
      <c r="AN189" s="9"/>
      <c r="AP189" s="8"/>
      <c r="AQ189" s="10"/>
      <c r="AR189" s="10"/>
      <c r="AS189" s="8"/>
      <c r="AT189" s="8"/>
      <c r="AU189" s="8"/>
    </row>
    <row r="190" spans="20:47" x14ac:dyDescent="0.4">
      <c r="T190" s="5"/>
      <c r="U190" s="8"/>
      <c r="V190" s="8"/>
      <c r="X190" s="5"/>
      <c r="AB190" s="5"/>
      <c r="AC190" s="8"/>
      <c r="AD190" s="8"/>
      <c r="AE190" s="8"/>
      <c r="AF190" s="8"/>
      <c r="AI190" s="9"/>
      <c r="AN190" s="9"/>
      <c r="AP190" s="8"/>
      <c r="AQ190" s="10"/>
      <c r="AR190" s="10"/>
      <c r="AS190" s="8"/>
      <c r="AT190" s="8"/>
      <c r="AU190" s="8"/>
    </row>
    <row r="191" spans="20:47" x14ac:dyDescent="0.4">
      <c r="T191" s="5"/>
      <c r="U191" s="8"/>
      <c r="V191" s="8"/>
      <c r="X191" s="5"/>
      <c r="AB191" s="5"/>
      <c r="AC191" s="8"/>
      <c r="AD191" s="8"/>
      <c r="AE191" s="8"/>
      <c r="AF191" s="8"/>
      <c r="AI191" s="9"/>
      <c r="AN191" s="9"/>
      <c r="AP191" s="8"/>
      <c r="AQ191" s="10"/>
      <c r="AR191" s="10"/>
      <c r="AS191" s="8"/>
      <c r="AT191" s="8"/>
      <c r="AU191" s="8"/>
    </row>
    <row r="192" spans="20:47" x14ac:dyDescent="0.4">
      <c r="T192" s="5"/>
      <c r="U192" s="8"/>
      <c r="V192" s="8"/>
      <c r="X192" s="5"/>
      <c r="AB192" s="5"/>
      <c r="AC192" s="8"/>
      <c r="AD192" s="8"/>
      <c r="AE192" s="8"/>
      <c r="AF192" s="8"/>
      <c r="AI192" s="9"/>
      <c r="AN192" s="9"/>
      <c r="AP192" s="8"/>
      <c r="AQ192" s="10"/>
      <c r="AR192" s="10"/>
      <c r="AS192" s="8"/>
      <c r="AT192" s="8"/>
      <c r="AU192" s="8"/>
    </row>
    <row r="193" spans="20:47" x14ac:dyDescent="0.4">
      <c r="T193" s="5"/>
      <c r="U193" s="8"/>
      <c r="V193" s="8"/>
      <c r="X193" s="5"/>
      <c r="AB193" s="5"/>
      <c r="AC193" s="8"/>
      <c r="AD193" s="8"/>
      <c r="AE193" s="8"/>
      <c r="AF193" s="8"/>
      <c r="AI193" s="9"/>
      <c r="AN193" s="9"/>
      <c r="AP193" s="8"/>
      <c r="AQ193" s="10"/>
      <c r="AR193" s="10"/>
      <c r="AS193" s="8"/>
      <c r="AT193" s="8"/>
      <c r="AU193" s="8"/>
    </row>
    <row r="194" spans="20:47" x14ac:dyDescent="0.4">
      <c r="T194" s="5"/>
      <c r="U194" s="8"/>
      <c r="V194" s="8"/>
      <c r="X194" s="5"/>
      <c r="AB194" s="5"/>
      <c r="AC194" s="8"/>
      <c r="AD194" s="8"/>
      <c r="AE194" s="8"/>
      <c r="AF194" s="8"/>
      <c r="AI194" s="9"/>
      <c r="AN194" s="9"/>
      <c r="AP194" s="8"/>
      <c r="AQ194" s="10"/>
      <c r="AR194" s="10"/>
      <c r="AS194" s="8"/>
      <c r="AT194" s="8"/>
      <c r="AU194" s="8"/>
    </row>
    <row r="195" spans="20:47" x14ac:dyDescent="0.4">
      <c r="T195" s="5"/>
      <c r="U195" s="8"/>
      <c r="V195" s="8"/>
      <c r="X195" s="5"/>
      <c r="AB195" s="5"/>
      <c r="AC195" s="8"/>
      <c r="AD195" s="8"/>
      <c r="AE195" s="8"/>
      <c r="AF195" s="8"/>
      <c r="AI195" s="9"/>
      <c r="AN195" s="9"/>
      <c r="AP195" s="8"/>
      <c r="AQ195" s="10"/>
      <c r="AR195" s="10"/>
      <c r="AS195" s="8"/>
      <c r="AT195" s="8"/>
      <c r="AU195" s="8"/>
    </row>
    <row r="196" spans="20:47" x14ac:dyDescent="0.4">
      <c r="T196" s="5"/>
      <c r="U196" s="8"/>
      <c r="V196" s="8"/>
      <c r="X196" s="5"/>
      <c r="AB196" s="5"/>
      <c r="AC196" s="8"/>
      <c r="AD196" s="8"/>
      <c r="AE196" s="8"/>
      <c r="AF196" s="8"/>
      <c r="AI196" s="9"/>
      <c r="AN196" s="9"/>
      <c r="AP196" s="8"/>
      <c r="AQ196" s="10"/>
      <c r="AR196" s="10"/>
      <c r="AS196" s="8"/>
      <c r="AT196" s="8"/>
      <c r="AU196" s="8"/>
    </row>
    <row r="197" spans="20:47" x14ac:dyDescent="0.4">
      <c r="T197" s="5"/>
      <c r="U197" s="8"/>
      <c r="V197" s="8"/>
      <c r="X197" s="5"/>
      <c r="AB197" s="5"/>
      <c r="AC197" s="8"/>
      <c r="AD197" s="8"/>
      <c r="AE197" s="8"/>
      <c r="AF197" s="8"/>
      <c r="AI197" s="9"/>
      <c r="AN197" s="9"/>
      <c r="AP197" s="8"/>
      <c r="AQ197" s="10"/>
      <c r="AR197" s="10"/>
      <c r="AS197" s="8"/>
      <c r="AT197" s="8"/>
      <c r="AU197" s="8"/>
    </row>
    <row r="198" spans="20:47" x14ac:dyDescent="0.4">
      <c r="T198" s="5"/>
      <c r="U198" s="8"/>
      <c r="V198" s="8"/>
      <c r="X198" s="5"/>
      <c r="AB198" s="5"/>
      <c r="AC198" s="8"/>
      <c r="AD198" s="8"/>
      <c r="AE198" s="8"/>
      <c r="AF198" s="8"/>
      <c r="AI198" s="9"/>
      <c r="AN198" s="9"/>
      <c r="AP198" s="8"/>
      <c r="AQ198" s="10"/>
      <c r="AR198" s="10"/>
      <c r="AS198" s="8"/>
      <c r="AT198" s="8"/>
      <c r="AU198" s="8"/>
    </row>
    <row r="199" spans="20:47" x14ac:dyDescent="0.4">
      <c r="T199" s="5"/>
      <c r="U199" s="8"/>
      <c r="V199" s="8"/>
      <c r="X199" s="5"/>
      <c r="AB199" s="5"/>
      <c r="AC199" s="8"/>
      <c r="AD199" s="8"/>
      <c r="AE199" s="8"/>
      <c r="AF199" s="8"/>
      <c r="AI199" s="9"/>
      <c r="AN199" s="9"/>
      <c r="AP199" s="8"/>
      <c r="AQ199" s="10"/>
      <c r="AR199" s="10"/>
      <c r="AS199" s="8"/>
      <c r="AT199" s="8"/>
      <c r="AU199" s="8"/>
    </row>
    <row r="200" spans="20:47" x14ac:dyDescent="0.4">
      <c r="T200" s="5"/>
      <c r="U200" s="8"/>
      <c r="V200" s="8"/>
      <c r="X200" s="5"/>
      <c r="AB200" s="5"/>
      <c r="AC200" s="8"/>
      <c r="AD200" s="8"/>
      <c r="AE200" s="8"/>
      <c r="AF200" s="8"/>
      <c r="AI200" s="9"/>
      <c r="AN200" s="9"/>
      <c r="AP200" s="8"/>
      <c r="AQ200" s="10"/>
      <c r="AR200" s="10"/>
      <c r="AS200" s="8"/>
      <c r="AT200" s="8"/>
      <c r="AU200" s="8"/>
    </row>
    <row r="201" spans="20:47" x14ac:dyDescent="0.4">
      <c r="T201" s="5"/>
      <c r="U201" s="8"/>
      <c r="V201" s="8"/>
      <c r="X201" s="5"/>
      <c r="AB201" s="5"/>
      <c r="AC201" s="8"/>
      <c r="AD201" s="8"/>
      <c r="AE201" s="8"/>
      <c r="AF201" s="8"/>
      <c r="AI201" s="9"/>
      <c r="AN201" s="9"/>
      <c r="AP201" s="8"/>
      <c r="AQ201" s="10"/>
      <c r="AR201" s="10"/>
      <c r="AS201" s="8"/>
      <c r="AT201" s="8"/>
      <c r="AU201" s="8"/>
    </row>
    <row r="202" spans="20:47" x14ac:dyDescent="0.4">
      <c r="T202" s="5"/>
      <c r="U202" s="8"/>
      <c r="V202" s="8"/>
      <c r="X202" s="5"/>
      <c r="AB202" s="5"/>
      <c r="AC202" s="8"/>
      <c r="AD202" s="8"/>
      <c r="AE202" s="8"/>
      <c r="AF202" s="8"/>
      <c r="AI202" s="9"/>
      <c r="AN202" s="9"/>
      <c r="AP202" s="8"/>
      <c r="AQ202" s="10"/>
      <c r="AR202" s="10"/>
      <c r="AS202" s="8"/>
      <c r="AT202" s="8"/>
      <c r="AU202" s="8"/>
    </row>
    <row r="203" spans="20:47" x14ac:dyDescent="0.4">
      <c r="T203" s="5"/>
      <c r="U203" s="8"/>
      <c r="V203" s="8"/>
      <c r="X203" s="5"/>
      <c r="AB203" s="5"/>
      <c r="AC203" s="8"/>
      <c r="AD203" s="8"/>
      <c r="AE203" s="8"/>
      <c r="AF203" s="8"/>
      <c r="AI203" s="9"/>
      <c r="AN203" s="9"/>
      <c r="AP203" s="8"/>
      <c r="AQ203" s="10"/>
      <c r="AR203" s="10"/>
      <c r="AS203" s="8"/>
      <c r="AT203" s="8"/>
      <c r="AU203" s="8"/>
    </row>
    <row r="204" spans="20:47" x14ac:dyDescent="0.4">
      <c r="T204" s="5"/>
      <c r="U204" s="8"/>
      <c r="V204" s="8"/>
      <c r="X204" s="5"/>
      <c r="AB204" s="5"/>
      <c r="AC204" s="8"/>
      <c r="AD204" s="8"/>
      <c r="AE204" s="8"/>
      <c r="AF204" s="8"/>
      <c r="AI204" s="9"/>
      <c r="AN204" s="9"/>
      <c r="AP204" s="8"/>
      <c r="AQ204" s="10"/>
      <c r="AR204" s="10"/>
      <c r="AS204" s="8"/>
      <c r="AT204" s="8"/>
      <c r="AU204" s="8"/>
    </row>
    <row r="205" spans="20:47" x14ac:dyDescent="0.4">
      <c r="T205" s="5"/>
      <c r="U205" s="8"/>
      <c r="V205" s="8"/>
      <c r="X205" s="5"/>
      <c r="AB205" s="5"/>
      <c r="AC205" s="8"/>
      <c r="AD205" s="8"/>
      <c r="AE205" s="8"/>
      <c r="AF205" s="8"/>
      <c r="AI205" s="9"/>
      <c r="AN205" s="9"/>
      <c r="AP205" s="8"/>
      <c r="AQ205" s="10"/>
      <c r="AR205" s="10"/>
      <c r="AS205" s="8"/>
      <c r="AT205" s="8"/>
      <c r="AU205" s="8"/>
    </row>
    <row r="206" spans="20:47" x14ac:dyDescent="0.4">
      <c r="T206" s="5"/>
      <c r="U206" s="8"/>
      <c r="V206" s="8"/>
      <c r="X206" s="5"/>
      <c r="AB206" s="5"/>
      <c r="AC206" s="8"/>
      <c r="AD206" s="8"/>
      <c r="AE206" s="8"/>
      <c r="AF206" s="8"/>
      <c r="AI206" s="9"/>
      <c r="AN206" s="9"/>
      <c r="AP206" s="8"/>
      <c r="AQ206" s="10"/>
      <c r="AR206" s="10"/>
      <c r="AS206" s="8"/>
      <c r="AT206" s="8"/>
      <c r="AU206" s="8"/>
    </row>
    <row r="207" spans="20:47" x14ac:dyDescent="0.4">
      <c r="T207" s="5"/>
      <c r="U207" s="8"/>
      <c r="V207" s="8"/>
      <c r="X207" s="5"/>
      <c r="AB207" s="5"/>
      <c r="AC207" s="8"/>
      <c r="AD207" s="8"/>
      <c r="AE207" s="8"/>
      <c r="AF207" s="8"/>
      <c r="AI207" s="9"/>
      <c r="AN207" s="9"/>
      <c r="AP207" s="8"/>
      <c r="AQ207" s="10"/>
      <c r="AR207" s="10"/>
      <c r="AS207" s="8"/>
      <c r="AT207" s="8"/>
      <c r="AU207" s="8"/>
    </row>
    <row r="208" spans="20:47" x14ac:dyDescent="0.4">
      <c r="T208" s="5"/>
      <c r="U208" s="8"/>
      <c r="V208" s="8"/>
      <c r="X208" s="5"/>
      <c r="AB208" s="5"/>
      <c r="AC208" s="8"/>
      <c r="AD208" s="8"/>
      <c r="AE208" s="8"/>
      <c r="AF208" s="8"/>
      <c r="AI208" s="9"/>
      <c r="AN208" s="9"/>
      <c r="AP208" s="8"/>
      <c r="AQ208" s="10"/>
      <c r="AR208" s="10"/>
      <c r="AS208" s="8"/>
      <c r="AT208" s="8"/>
      <c r="AU208" s="8"/>
    </row>
    <row r="209" spans="20:47" x14ac:dyDescent="0.4">
      <c r="T209" s="5"/>
      <c r="U209" s="8"/>
      <c r="V209" s="8"/>
      <c r="X209" s="5"/>
      <c r="AB209" s="5"/>
      <c r="AC209" s="8"/>
      <c r="AD209" s="8"/>
      <c r="AE209" s="8"/>
      <c r="AF209" s="8"/>
      <c r="AI209" s="9"/>
      <c r="AN209" s="9"/>
      <c r="AP209" s="8"/>
      <c r="AQ209" s="10"/>
      <c r="AR209" s="10"/>
      <c r="AS209" s="8"/>
      <c r="AT209" s="8"/>
      <c r="AU209" s="8"/>
    </row>
    <row r="210" spans="20:47" x14ac:dyDescent="0.4">
      <c r="T210" s="5"/>
      <c r="U210" s="8"/>
      <c r="V210" s="8"/>
      <c r="X210" s="5"/>
      <c r="AB210" s="5"/>
      <c r="AC210" s="8"/>
      <c r="AD210" s="8"/>
      <c r="AE210" s="8"/>
      <c r="AF210" s="8"/>
      <c r="AI210" s="9"/>
      <c r="AN210" s="9"/>
      <c r="AP210" s="8"/>
      <c r="AQ210" s="10"/>
      <c r="AR210" s="10"/>
      <c r="AS210" s="8"/>
      <c r="AT210" s="8"/>
      <c r="AU210" s="8"/>
    </row>
    <row r="211" spans="20:47" x14ac:dyDescent="0.4">
      <c r="T211" s="5"/>
      <c r="U211" s="8"/>
      <c r="V211" s="8"/>
      <c r="X211" s="5"/>
      <c r="AB211" s="5"/>
      <c r="AC211" s="8"/>
      <c r="AD211" s="8"/>
      <c r="AE211" s="8"/>
      <c r="AF211" s="8"/>
      <c r="AI211" s="9"/>
      <c r="AN211" s="9"/>
      <c r="AP211" s="8"/>
      <c r="AQ211" s="10"/>
      <c r="AR211" s="10"/>
      <c r="AS211" s="8"/>
      <c r="AT211" s="8"/>
      <c r="AU211" s="8"/>
    </row>
    <row r="212" spans="20:47" x14ac:dyDescent="0.4">
      <c r="T212" s="5"/>
      <c r="U212" s="8"/>
      <c r="V212" s="8"/>
      <c r="X212" s="5"/>
      <c r="AB212" s="5"/>
      <c r="AC212" s="8"/>
      <c r="AD212" s="8"/>
      <c r="AE212" s="8"/>
      <c r="AF212" s="8"/>
      <c r="AI212" s="9"/>
      <c r="AN212" s="9"/>
      <c r="AP212" s="8"/>
      <c r="AQ212" s="10"/>
      <c r="AR212" s="10"/>
      <c r="AS212" s="8"/>
      <c r="AT212" s="8"/>
      <c r="AU212" s="8"/>
    </row>
    <row r="213" spans="20:47" x14ac:dyDescent="0.4">
      <c r="T213" s="5"/>
      <c r="U213" s="8"/>
      <c r="V213" s="8"/>
      <c r="X213" s="5"/>
      <c r="AB213" s="5"/>
      <c r="AC213" s="8"/>
      <c r="AD213" s="8"/>
      <c r="AE213" s="8"/>
      <c r="AF213" s="8"/>
      <c r="AI213" s="9"/>
      <c r="AN213" s="9"/>
      <c r="AP213" s="8"/>
      <c r="AQ213" s="10"/>
      <c r="AR213" s="10"/>
      <c r="AS213" s="8"/>
      <c r="AT213" s="8"/>
      <c r="AU213" s="8"/>
    </row>
    <row r="214" spans="20:47" x14ac:dyDescent="0.4">
      <c r="T214" s="5"/>
      <c r="U214" s="8"/>
      <c r="V214" s="8"/>
      <c r="X214" s="5"/>
      <c r="AB214" s="5"/>
      <c r="AC214" s="8"/>
      <c r="AD214" s="8"/>
      <c r="AE214" s="8"/>
      <c r="AF214" s="8"/>
      <c r="AI214" s="9"/>
      <c r="AN214" s="9"/>
      <c r="AP214" s="8"/>
      <c r="AQ214" s="10"/>
      <c r="AR214" s="10"/>
      <c r="AS214" s="8"/>
      <c r="AT214" s="8"/>
      <c r="AU214" s="8"/>
    </row>
    <row r="215" spans="20:47" x14ac:dyDescent="0.4">
      <c r="T215" s="5"/>
      <c r="U215" s="8"/>
      <c r="V215" s="8"/>
      <c r="X215" s="5"/>
      <c r="AB215" s="5"/>
      <c r="AC215" s="8"/>
      <c r="AD215" s="8"/>
      <c r="AE215" s="8"/>
      <c r="AF215" s="8"/>
      <c r="AI215" s="9"/>
      <c r="AN215" s="9"/>
      <c r="AP215" s="8"/>
      <c r="AQ215" s="10"/>
      <c r="AR215" s="10"/>
      <c r="AS215" s="8"/>
      <c r="AT215" s="8"/>
      <c r="AU215" s="8"/>
    </row>
    <row r="216" spans="20:47" x14ac:dyDescent="0.4">
      <c r="T216" s="5"/>
      <c r="U216" s="8"/>
      <c r="V216" s="8"/>
      <c r="X216" s="5"/>
      <c r="AB216" s="5"/>
      <c r="AC216" s="8"/>
      <c r="AD216" s="8"/>
      <c r="AE216" s="8"/>
      <c r="AF216" s="8"/>
      <c r="AI216" s="9"/>
      <c r="AN216" s="9"/>
      <c r="AP216" s="8"/>
      <c r="AQ216" s="10"/>
      <c r="AR216" s="10"/>
      <c r="AS216" s="8"/>
      <c r="AT216" s="8"/>
      <c r="AU216" s="8"/>
    </row>
    <row r="217" spans="20:47" x14ac:dyDescent="0.4">
      <c r="T217" s="5"/>
      <c r="U217" s="8"/>
      <c r="V217" s="8"/>
      <c r="X217" s="5"/>
      <c r="AB217" s="5"/>
      <c r="AC217" s="8"/>
      <c r="AD217" s="8"/>
      <c r="AE217" s="8"/>
      <c r="AF217" s="8"/>
      <c r="AI217" s="9"/>
      <c r="AN217" s="9"/>
      <c r="AP217" s="8"/>
      <c r="AQ217" s="10"/>
      <c r="AR217" s="10"/>
      <c r="AS217" s="8"/>
      <c r="AT217" s="8"/>
      <c r="AU217" s="8"/>
    </row>
    <row r="218" spans="20:47" x14ac:dyDescent="0.4">
      <c r="T218" s="5"/>
      <c r="U218" s="8"/>
      <c r="V218" s="8"/>
      <c r="X218" s="5"/>
      <c r="AB218" s="5"/>
      <c r="AC218" s="8"/>
      <c r="AD218" s="8"/>
      <c r="AE218" s="8"/>
      <c r="AF218" s="8"/>
      <c r="AI218" s="9"/>
      <c r="AN218" s="9"/>
      <c r="AP218" s="8"/>
      <c r="AQ218" s="10"/>
      <c r="AR218" s="10"/>
      <c r="AS218" s="8"/>
      <c r="AT218" s="8"/>
      <c r="AU218" s="8"/>
    </row>
    <row r="219" spans="20:47" x14ac:dyDescent="0.4">
      <c r="T219" s="5"/>
      <c r="U219" s="8"/>
      <c r="V219" s="8"/>
      <c r="X219" s="5"/>
      <c r="AB219" s="5"/>
      <c r="AC219" s="8"/>
      <c r="AD219" s="8"/>
      <c r="AE219" s="8"/>
      <c r="AF219" s="8"/>
      <c r="AI219" s="9"/>
      <c r="AN219" s="9"/>
      <c r="AP219" s="8"/>
      <c r="AQ219" s="10"/>
      <c r="AR219" s="10"/>
      <c r="AS219" s="8"/>
      <c r="AT219" s="8"/>
      <c r="AU219" s="8"/>
    </row>
    <row r="220" spans="20:47" x14ac:dyDescent="0.4">
      <c r="T220" s="5"/>
      <c r="U220" s="8"/>
      <c r="V220" s="8"/>
      <c r="X220" s="5"/>
      <c r="AB220" s="5"/>
      <c r="AC220" s="8"/>
      <c r="AD220" s="8"/>
      <c r="AE220" s="8"/>
      <c r="AF220" s="8"/>
      <c r="AI220" s="9"/>
      <c r="AN220" s="9"/>
      <c r="AP220" s="8"/>
      <c r="AQ220" s="10"/>
      <c r="AR220" s="10"/>
      <c r="AS220" s="8"/>
      <c r="AT220" s="8"/>
      <c r="AU220" s="8"/>
    </row>
    <row r="221" spans="20:47" x14ac:dyDescent="0.4">
      <c r="T221" s="5"/>
      <c r="U221" s="8"/>
      <c r="V221" s="8"/>
      <c r="X221" s="5"/>
      <c r="AB221" s="5"/>
      <c r="AC221" s="8"/>
      <c r="AD221" s="8"/>
      <c r="AE221" s="8"/>
      <c r="AF221" s="8"/>
      <c r="AI221" s="9"/>
      <c r="AN221" s="9"/>
      <c r="AP221" s="8"/>
      <c r="AQ221" s="10"/>
      <c r="AR221" s="10"/>
      <c r="AS221" s="8"/>
      <c r="AT221" s="8"/>
      <c r="AU221" s="8"/>
    </row>
    <row r="222" spans="20:47" x14ac:dyDescent="0.4">
      <c r="T222" s="5"/>
      <c r="U222" s="8"/>
      <c r="V222" s="8"/>
      <c r="X222" s="5"/>
      <c r="AB222" s="5"/>
      <c r="AC222" s="8"/>
      <c r="AD222" s="8"/>
      <c r="AE222" s="8"/>
      <c r="AF222" s="8"/>
      <c r="AI222" s="9"/>
      <c r="AN222" s="9"/>
      <c r="AP222" s="8"/>
      <c r="AQ222" s="10"/>
      <c r="AR222" s="10"/>
      <c r="AS222" s="8"/>
      <c r="AT222" s="8"/>
      <c r="AU222" s="8"/>
    </row>
    <row r="223" spans="20:47" x14ac:dyDescent="0.4">
      <c r="T223" s="5"/>
      <c r="U223" s="8"/>
      <c r="V223" s="8"/>
      <c r="X223" s="5"/>
      <c r="AB223" s="5"/>
      <c r="AC223" s="8"/>
      <c r="AD223" s="8"/>
      <c r="AE223" s="8"/>
      <c r="AF223" s="8"/>
      <c r="AI223" s="9"/>
      <c r="AN223" s="9"/>
      <c r="AP223" s="8"/>
      <c r="AQ223" s="10"/>
      <c r="AR223" s="10"/>
      <c r="AS223" s="8"/>
      <c r="AT223" s="8"/>
      <c r="AU223" s="8"/>
    </row>
    <row r="224" spans="20:47" x14ac:dyDescent="0.4">
      <c r="T224" s="5"/>
      <c r="U224" s="8"/>
      <c r="V224" s="8"/>
      <c r="X224" s="5"/>
      <c r="AB224" s="5"/>
      <c r="AC224" s="8"/>
      <c r="AD224" s="8"/>
      <c r="AE224" s="8"/>
      <c r="AF224" s="8"/>
      <c r="AI224" s="9"/>
      <c r="AN224" s="9"/>
      <c r="AP224" s="8"/>
      <c r="AQ224" s="10"/>
      <c r="AR224" s="10"/>
      <c r="AS224" s="8"/>
      <c r="AT224" s="8"/>
      <c r="AU224" s="8"/>
    </row>
    <row r="225" spans="20:47" x14ac:dyDescent="0.4">
      <c r="T225" s="5"/>
      <c r="U225" s="8"/>
      <c r="V225" s="8"/>
      <c r="X225" s="5"/>
      <c r="AB225" s="5"/>
      <c r="AC225" s="8"/>
      <c r="AD225" s="8"/>
      <c r="AE225" s="8"/>
      <c r="AF225" s="8"/>
      <c r="AI225" s="9"/>
      <c r="AN225" s="9"/>
      <c r="AP225" s="8"/>
      <c r="AQ225" s="10"/>
      <c r="AR225" s="10"/>
      <c r="AS225" s="8"/>
      <c r="AT225" s="8"/>
      <c r="AU225" s="8"/>
    </row>
    <row r="226" spans="20:47" x14ac:dyDescent="0.4">
      <c r="T226" s="5"/>
      <c r="U226" s="8"/>
      <c r="V226" s="8"/>
      <c r="X226" s="5"/>
      <c r="AB226" s="5"/>
      <c r="AC226" s="8"/>
      <c r="AD226" s="8"/>
      <c r="AE226" s="8"/>
      <c r="AF226" s="8"/>
      <c r="AI226" s="9"/>
      <c r="AN226" s="9"/>
      <c r="AP226" s="8"/>
      <c r="AQ226" s="10"/>
      <c r="AR226" s="10"/>
      <c r="AS226" s="8"/>
      <c r="AT226" s="8"/>
      <c r="AU226" s="8"/>
    </row>
    <row r="227" spans="20:47" x14ac:dyDescent="0.4">
      <c r="T227" s="5"/>
      <c r="U227" s="8"/>
      <c r="V227" s="8"/>
      <c r="X227" s="5"/>
      <c r="AB227" s="5"/>
      <c r="AC227" s="8"/>
      <c r="AD227" s="8"/>
      <c r="AE227" s="8"/>
      <c r="AF227" s="8"/>
      <c r="AI227" s="9"/>
      <c r="AN227" s="9"/>
      <c r="AP227" s="8"/>
      <c r="AQ227" s="10"/>
      <c r="AR227" s="10"/>
      <c r="AS227" s="8"/>
      <c r="AT227" s="8"/>
      <c r="AU227" s="8"/>
    </row>
    <row r="228" spans="20:47" x14ac:dyDescent="0.4">
      <c r="T228" s="5"/>
      <c r="U228" s="8"/>
      <c r="V228" s="8"/>
      <c r="X228" s="5"/>
      <c r="AB228" s="5"/>
      <c r="AC228" s="8"/>
      <c r="AD228" s="8"/>
      <c r="AE228" s="8"/>
      <c r="AF228" s="8"/>
      <c r="AI228" s="9"/>
      <c r="AN228" s="9"/>
      <c r="AP228" s="8"/>
      <c r="AQ228" s="10"/>
      <c r="AR228" s="10"/>
      <c r="AS228" s="8"/>
      <c r="AT228" s="8"/>
      <c r="AU228" s="8"/>
    </row>
    <row r="229" spans="20:47" x14ac:dyDescent="0.4">
      <c r="T229" s="5"/>
      <c r="U229" s="8"/>
      <c r="V229" s="8"/>
      <c r="X229" s="5"/>
      <c r="AB229" s="5"/>
      <c r="AC229" s="8"/>
      <c r="AD229" s="8"/>
      <c r="AE229" s="8"/>
      <c r="AF229" s="8"/>
      <c r="AI229" s="9"/>
      <c r="AN229" s="9"/>
      <c r="AP229" s="8"/>
      <c r="AQ229" s="10"/>
      <c r="AR229" s="10"/>
      <c r="AS229" s="8"/>
      <c r="AT229" s="8"/>
      <c r="AU229" s="8"/>
    </row>
    <row r="230" spans="20:47" x14ac:dyDescent="0.4">
      <c r="T230" s="5"/>
      <c r="U230" s="8"/>
      <c r="V230" s="8"/>
      <c r="X230" s="5"/>
      <c r="AB230" s="5"/>
      <c r="AC230" s="8"/>
      <c r="AD230" s="8"/>
      <c r="AE230" s="8"/>
      <c r="AF230" s="8"/>
      <c r="AI230" s="9"/>
      <c r="AN230" s="9"/>
      <c r="AP230" s="8"/>
      <c r="AQ230" s="10"/>
      <c r="AR230" s="10"/>
      <c r="AS230" s="8"/>
      <c r="AT230" s="8"/>
      <c r="AU230" s="8"/>
    </row>
    <row r="231" spans="20:47" x14ac:dyDescent="0.4">
      <c r="T231" s="5"/>
      <c r="U231" s="8"/>
      <c r="V231" s="8"/>
      <c r="X231" s="5"/>
      <c r="AB231" s="5"/>
      <c r="AC231" s="8"/>
      <c r="AD231" s="8"/>
      <c r="AE231" s="8"/>
      <c r="AF231" s="8"/>
      <c r="AI231" s="9"/>
      <c r="AN231" s="9"/>
      <c r="AP231" s="8"/>
      <c r="AQ231" s="10"/>
      <c r="AR231" s="10"/>
      <c r="AS231" s="8"/>
      <c r="AT231" s="8"/>
      <c r="AU231" s="8"/>
    </row>
    <row r="232" spans="20:47" x14ac:dyDescent="0.4">
      <c r="T232" s="5"/>
      <c r="U232" s="8"/>
      <c r="V232" s="8"/>
      <c r="X232" s="5"/>
      <c r="AB232" s="5"/>
      <c r="AC232" s="8"/>
      <c r="AD232" s="8"/>
      <c r="AE232" s="8"/>
      <c r="AF232" s="8"/>
      <c r="AI232" s="9"/>
      <c r="AN232" s="9"/>
      <c r="AP232" s="8"/>
      <c r="AQ232" s="10"/>
      <c r="AR232" s="10"/>
      <c r="AS232" s="8"/>
      <c r="AT232" s="8"/>
      <c r="AU232" s="8"/>
    </row>
    <row r="233" spans="20:47" x14ac:dyDescent="0.4">
      <c r="T233" s="5"/>
      <c r="U233" s="8"/>
      <c r="V233" s="8"/>
      <c r="X233" s="5"/>
      <c r="AB233" s="5"/>
      <c r="AC233" s="8"/>
      <c r="AD233" s="8"/>
      <c r="AE233" s="8"/>
      <c r="AF233" s="8"/>
      <c r="AI233" s="9"/>
      <c r="AN233" s="9"/>
      <c r="AP233" s="8"/>
      <c r="AQ233" s="10"/>
      <c r="AR233" s="10"/>
      <c r="AS233" s="8"/>
      <c r="AT233" s="8"/>
      <c r="AU233" s="8"/>
    </row>
    <row r="234" spans="20:47" x14ac:dyDescent="0.4">
      <c r="T234" s="5"/>
      <c r="U234" s="8"/>
      <c r="V234" s="8"/>
      <c r="X234" s="5"/>
      <c r="AB234" s="5"/>
      <c r="AC234" s="8"/>
      <c r="AD234" s="8"/>
      <c r="AE234" s="8"/>
      <c r="AF234" s="8"/>
      <c r="AI234" s="9"/>
      <c r="AN234" s="9"/>
      <c r="AP234" s="8"/>
      <c r="AQ234" s="10"/>
      <c r="AR234" s="10"/>
      <c r="AS234" s="8"/>
      <c r="AT234" s="8"/>
      <c r="AU234" s="8"/>
    </row>
    <row r="235" spans="20:47" x14ac:dyDescent="0.4">
      <c r="T235" s="5"/>
      <c r="U235" s="8"/>
      <c r="V235" s="8"/>
      <c r="X235" s="5"/>
      <c r="AB235" s="5"/>
      <c r="AC235" s="8"/>
      <c r="AD235" s="8"/>
      <c r="AE235" s="8"/>
      <c r="AF235" s="8"/>
      <c r="AI235" s="9"/>
      <c r="AN235" s="9"/>
      <c r="AP235" s="8"/>
      <c r="AQ235" s="10"/>
      <c r="AR235" s="10"/>
      <c r="AS235" s="8"/>
      <c r="AT235" s="8"/>
      <c r="AU235" s="8"/>
    </row>
    <row r="236" spans="20:47" x14ac:dyDescent="0.4">
      <c r="T236" s="5"/>
      <c r="U236" s="8"/>
      <c r="V236" s="8"/>
      <c r="X236" s="5"/>
      <c r="AB236" s="5"/>
      <c r="AC236" s="8"/>
      <c r="AD236" s="8"/>
      <c r="AE236" s="8"/>
      <c r="AF236" s="8"/>
      <c r="AI236" s="9"/>
      <c r="AN236" s="9"/>
      <c r="AP236" s="8"/>
      <c r="AQ236" s="10"/>
      <c r="AR236" s="10"/>
      <c r="AS236" s="8"/>
      <c r="AT236" s="8"/>
      <c r="AU236" s="8"/>
    </row>
    <row r="237" spans="20:47" x14ac:dyDescent="0.4">
      <c r="T237" s="5"/>
      <c r="U237" s="8"/>
      <c r="V237" s="8"/>
      <c r="X237" s="5"/>
      <c r="AB237" s="5"/>
      <c r="AC237" s="8"/>
      <c r="AD237" s="8"/>
      <c r="AE237" s="8"/>
      <c r="AF237" s="8"/>
      <c r="AI237" s="9"/>
      <c r="AN237" s="9"/>
      <c r="AP237" s="8"/>
      <c r="AQ237" s="10"/>
      <c r="AR237" s="10"/>
      <c r="AS237" s="8"/>
      <c r="AT237" s="8"/>
      <c r="AU237" s="8"/>
    </row>
    <row r="238" spans="20:47" x14ac:dyDescent="0.4">
      <c r="T238" s="5"/>
      <c r="U238" s="8"/>
      <c r="V238" s="8"/>
      <c r="X238" s="5"/>
      <c r="AB238" s="5"/>
      <c r="AC238" s="8"/>
      <c r="AD238" s="8"/>
      <c r="AE238" s="8"/>
      <c r="AF238" s="8"/>
      <c r="AI238" s="9"/>
      <c r="AN238" s="9"/>
      <c r="AP238" s="8"/>
      <c r="AQ238" s="10"/>
      <c r="AR238" s="10"/>
      <c r="AS238" s="8"/>
      <c r="AT238" s="8"/>
      <c r="AU238" s="8"/>
    </row>
    <row r="239" spans="20:47" x14ac:dyDescent="0.4">
      <c r="T239" s="5"/>
      <c r="U239" s="8"/>
      <c r="V239" s="8"/>
      <c r="X239" s="5"/>
      <c r="AB239" s="5"/>
      <c r="AC239" s="8"/>
      <c r="AD239" s="8"/>
      <c r="AE239" s="8"/>
      <c r="AF239" s="8"/>
      <c r="AI239" s="9"/>
      <c r="AN239" s="9"/>
      <c r="AP239" s="8"/>
      <c r="AQ239" s="10"/>
      <c r="AR239" s="10"/>
      <c r="AS239" s="8"/>
      <c r="AT239" s="8"/>
      <c r="AU239" s="8"/>
    </row>
    <row r="240" spans="20:47" x14ac:dyDescent="0.4">
      <c r="T240" s="5"/>
      <c r="U240" s="8"/>
      <c r="V240" s="8"/>
      <c r="X240" s="5"/>
      <c r="AB240" s="5"/>
      <c r="AC240" s="8"/>
      <c r="AD240" s="8"/>
      <c r="AE240" s="8"/>
      <c r="AF240" s="8"/>
      <c r="AI240" s="9"/>
      <c r="AN240" s="9"/>
      <c r="AP240" s="8"/>
      <c r="AQ240" s="10"/>
      <c r="AR240" s="10"/>
      <c r="AS240" s="8"/>
      <c r="AT240" s="8"/>
      <c r="AU240" s="8"/>
    </row>
    <row r="241" spans="20:47" x14ac:dyDescent="0.4">
      <c r="T241" s="5"/>
      <c r="U241" s="8"/>
      <c r="V241" s="8"/>
      <c r="X241" s="5"/>
      <c r="AB241" s="5"/>
      <c r="AC241" s="8"/>
      <c r="AD241" s="8"/>
      <c r="AE241" s="8"/>
      <c r="AF241" s="8"/>
      <c r="AI241" s="9"/>
      <c r="AN241" s="9"/>
      <c r="AP241" s="8"/>
      <c r="AQ241" s="10"/>
      <c r="AR241" s="10"/>
      <c r="AS241" s="8"/>
      <c r="AT241" s="8"/>
      <c r="AU241" s="8"/>
    </row>
    <row r="242" spans="20:47" x14ac:dyDescent="0.4">
      <c r="T242" s="5"/>
      <c r="U242" s="8"/>
      <c r="V242" s="8"/>
      <c r="X242" s="5"/>
      <c r="AB242" s="5"/>
      <c r="AC242" s="8"/>
      <c r="AD242" s="8"/>
      <c r="AE242" s="8"/>
      <c r="AF242" s="8"/>
      <c r="AI242" s="9"/>
      <c r="AN242" s="9"/>
      <c r="AP242" s="8"/>
      <c r="AQ242" s="10"/>
      <c r="AR242" s="10"/>
      <c r="AS242" s="8"/>
      <c r="AT242" s="8"/>
      <c r="AU242" s="8"/>
    </row>
    <row r="243" spans="20:47" x14ac:dyDescent="0.4">
      <c r="T243" s="5"/>
      <c r="U243" s="8"/>
      <c r="V243" s="8"/>
      <c r="X243" s="5"/>
      <c r="AB243" s="5"/>
      <c r="AC243" s="8"/>
      <c r="AD243" s="8"/>
      <c r="AE243" s="8"/>
      <c r="AF243" s="8"/>
      <c r="AI243" s="9"/>
      <c r="AN243" s="9"/>
      <c r="AP243" s="8"/>
      <c r="AQ243" s="10"/>
      <c r="AR243" s="10"/>
      <c r="AS243" s="8"/>
      <c r="AT243" s="8"/>
      <c r="AU243" s="8"/>
    </row>
    <row r="244" spans="20:47" x14ac:dyDescent="0.4">
      <c r="T244" s="5"/>
      <c r="U244" s="8"/>
      <c r="V244" s="8"/>
      <c r="X244" s="5"/>
      <c r="AB244" s="5"/>
      <c r="AC244" s="8"/>
      <c r="AD244" s="8"/>
      <c r="AE244" s="8"/>
      <c r="AF244" s="8"/>
      <c r="AI244" s="9"/>
      <c r="AN244" s="9"/>
      <c r="AP244" s="8"/>
      <c r="AQ244" s="10"/>
      <c r="AR244" s="10"/>
      <c r="AS244" s="8"/>
      <c r="AT244" s="8"/>
      <c r="AU244" s="8"/>
    </row>
    <row r="245" spans="20:47" x14ac:dyDescent="0.4">
      <c r="T245" s="5"/>
      <c r="U245" s="8"/>
      <c r="V245" s="8"/>
      <c r="X245" s="5"/>
      <c r="AB245" s="5"/>
      <c r="AC245" s="8"/>
      <c r="AD245" s="8"/>
      <c r="AE245" s="8"/>
      <c r="AF245" s="8"/>
      <c r="AI245" s="9"/>
      <c r="AN245" s="9"/>
      <c r="AP245" s="8"/>
      <c r="AQ245" s="10"/>
      <c r="AR245" s="10"/>
      <c r="AS245" s="8"/>
      <c r="AT245" s="8"/>
      <c r="AU245" s="8"/>
    </row>
    <row r="246" spans="20:47" x14ac:dyDescent="0.4">
      <c r="T246" s="5"/>
      <c r="U246" s="8"/>
      <c r="V246" s="8"/>
      <c r="X246" s="5"/>
      <c r="AB246" s="5"/>
      <c r="AC246" s="8"/>
      <c r="AD246" s="8"/>
      <c r="AE246" s="8"/>
      <c r="AF246" s="8"/>
      <c r="AI246" s="9"/>
      <c r="AN246" s="9"/>
      <c r="AP246" s="8"/>
      <c r="AQ246" s="10"/>
      <c r="AR246" s="10"/>
      <c r="AS246" s="8"/>
      <c r="AT246" s="8"/>
      <c r="AU246" s="8"/>
    </row>
    <row r="247" spans="20:47" x14ac:dyDescent="0.4">
      <c r="T247" s="5"/>
      <c r="U247" s="8"/>
      <c r="V247" s="8"/>
      <c r="X247" s="5"/>
      <c r="AB247" s="5"/>
      <c r="AC247" s="8"/>
      <c r="AD247" s="8"/>
      <c r="AE247" s="8"/>
      <c r="AF247" s="8"/>
      <c r="AI247" s="9"/>
      <c r="AN247" s="9"/>
      <c r="AP247" s="8"/>
      <c r="AQ247" s="10"/>
      <c r="AR247" s="10"/>
      <c r="AS247" s="8"/>
      <c r="AT247" s="8"/>
      <c r="AU247" s="8"/>
    </row>
    <row r="248" spans="20:47" x14ac:dyDescent="0.4">
      <c r="T248" s="5"/>
      <c r="U248" s="8"/>
      <c r="V248" s="8"/>
      <c r="X248" s="5"/>
      <c r="AB248" s="5"/>
      <c r="AC248" s="8"/>
      <c r="AD248" s="8"/>
      <c r="AE248" s="8"/>
      <c r="AF248" s="8"/>
      <c r="AI248" s="9"/>
      <c r="AN248" s="9"/>
      <c r="AP248" s="8"/>
      <c r="AQ248" s="10"/>
      <c r="AR248" s="10"/>
      <c r="AS248" s="8"/>
      <c r="AT248" s="8"/>
      <c r="AU248" s="8"/>
    </row>
    <row r="249" spans="20:47" x14ac:dyDescent="0.4">
      <c r="T249" s="5"/>
      <c r="U249" s="8"/>
      <c r="V249" s="8"/>
      <c r="X249" s="5"/>
      <c r="AB249" s="5"/>
      <c r="AC249" s="8"/>
      <c r="AD249" s="8"/>
      <c r="AE249" s="8"/>
      <c r="AF249" s="8"/>
      <c r="AI249" s="9"/>
      <c r="AN249" s="9"/>
      <c r="AP249" s="8"/>
      <c r="AQ249" s="10"/>
      <c r="AR249" s="10"/>
      <c r="AS249" s="8"/>
      <c r="AT249" s="8"/>
      <c r="AU249" s="8"/>
    </row>
    <row r="250" spans="20:47" x14ac:dyDescent="0.4">
      <c r="T250" s="5"/>
      <c r="U250" s="8"/>
      <c r="V250" s="8"/>
      <c r="X250" s="5"/>
      <c r="AB250" s="5"/>
      <c r="AC250" s="8"/>
      <c r="AD250" s="8"/>
      <c r="AE250" s="8"/>
      <c r="AF250" s="8"/>
      <c r="AI250" s="9"/>
      <c r="AN250" s="9"/>
      <c r="AP250" s="8"/>
      <c r="AQ250" s="10"/>
      <c r="AR250" s="10"/>
      <c r="AS250" s="8"/>
      <c r="AT250" s="8"/>
      <c r="AU250" s="8"/>
    </row>
    <row r="251" spans="20:47" x14ac:dyDescent="0.4">
      <c r="T251" s="5"/>
      <c r="U251" s="8"/>
      <c r="V251" s="8"/>
      <c r="X251" s="5"/>
      <c r="AB251" s="5"/>
      <c r="AC251" s="8"/>
      <c r="AD251" s="8"/>
      <c r="AE251" s="8"/>
      <c r="AF251" s="8"/>
      <c r="AI251" s="9"/>
      <c r="AN251" s="9"/>
      <c r="AP251" s="8"/>
      <c r="AQ251" s="10"/>
      <c r="AR251" s="10"/>
      <c r="AS251" s="8"/>
      <c r="AT251" s="8"/>
      <c r="AU251" s="8"/>
    </row>
    <row r="252" spans="20:47" x14ac:dyDescent="0.4">
      <c r="T252" s="5"/>
      <c r="U252" s="8"/>
      <c r="V252" s="8"/>
      <c r="X252" s="5"/>
      <c r="AB252" s="5"/>
      <c r="AC252" s="8"/>
      <c r="AD252" s="8"/>
      <c r="AE252" s="8"/>
      <c r="AF252" s="8"/>
      <c r="AI252" s="9"/>
      <c r="AN252" s="9"/>
      <c r="AP252" s="8"/>
      <c r="AQ252" s="10"/>
      <c r="AR252" s="10"/>
      <c r="AS252" s="8"/>
      <c r="AT252" s="8"/>
      <c r="AU252" s="8"/>
    </row>
    <row r="253" spans="20:47" x14ac:dyDescent="0.4">
      <c r="T253" s="5"/>
      <c r="U253" s="8"/>
      <c r="V253" s="8"/>
      <c r="X253" s="5"/>
      <c r="AB253" s="5"/>
      <c r="AC253" s="8"/>
      <c r="AD253" s="8"/>
      <c r="AE253" s="8"/>
      <c r="AF253" s="8"/>
      <c r="AI253" s="9"/>
      <c r="AN253" s="9"/>
      <c r="AP253" s="8"/>
      <c r="AQ253" s="10"/>
      <c r="AR253" s="10"/>
      <c r="AS253" s="8"/>
      <c r="AT253" s="8"/>
      <c r="AU253" s="8"/>
    </row>
    <row r="254" spans="20:47" x14ac:dyDescent="0.4">
      <c r="T254" s="5"/>
      <c r="U254" s="8"/>
      <c r="V254" s="8"/>
      <c r="X254" s="5"/>
      <c r="AB254" s="5"/>
      <c r="AC254" s="8"/>
      <c r="AD254" s="8"/>
      <c r="AE254" s="8"/>
      <c r="AF254" s="8"/>
      <c r="AI254" s="9"/>
      <c r="AN254" s="9"/>
      <c r="AP254" s="8"/>
      <c r="AQ254" s="10"/>
      <c r="AR254" s="10"/>
      <c r="AS254" s="8"/>
      <c r="AT254" s="8"/>
      <c r="AU254" s="8"/>
    </row>
    <row r="255" spans="20:47" x14ac:dyDescent="0.4">
      <c r="T255" s="5"/>
      <c r="U255" s="8"/>
      <c r="V255" s="8"/>
      <c r="X255" s="5"/>
      <c r="AB255" s="5"/>
      <c r="AC255" s="8"/>
      <c r="AD255" s="8"/>
      <c r="AE255" s="8"/>
      <c r="AF255" s="8"/>
      <c r="AI255" s="9"/>
      <c r="AN255" s="9"/>
      <c r="AP255" s="8"/>
      <c r="AQ255" s="10"/>
      <c r="AR255" s="10"/>
      <c r="AS255" s="8"/>
      <c r="AT255" s="8"/>
      <c r="AU255" s="8"/>
    </row>
    <row r="256" spans="20:47" x14ac:dyDescent="0.4">
      <c r="T256" s="5"/>
      <c r="U256" s="8"/>
      <c r="V256" s="8"/>
      <c r="X256" s="5"/>
      <c r="AB256" s="5"/>
      <c r="AC256" s="8"/>
      <c r="AD256" s="8"/>
      <c r="AE256" s="8"/>
      <c r="AF256" s="8"/>
      <c r="AI256" s="9"/>
      <c r="AN256" s="9"/>
      <c r="AP256" s="8"/>
      <c r="AQ256" s="10"/>
      <c r="AR256" s="10"/>
      <c r="AS256" s="8"/>
      <c r="AT256" s="8"/>
      <c r="AU256" s="8"/>
    </row>
    <row r="257" spans="20:47" x14ac:dyDescent="0.4">
      <c r="T257" s="5"/>
      <c r="U257" s="8"/>
      <c r="V257" s="8"/>
      <c r="X257" s="5"/>
      <c r="AB257" s="5"/>
      <c r="AC257" s="8"/>
      <c r="AD257" s="8"/>
      <c r="AE257" s="8"/>
      <c r="AF257" s="8"/>
      <c r="AI257" s="9"/>
      <c r="AN257" s="9"/>
      <c r="AP257" s="8"/>
      <c r="AQ257" s="10"/>
      <c r="AR257" s="10"/>
      <c r="AS257" s="8"/>
      <c r="AT257" s="8"/>
      <c r="AU257" s="8"/>
    </row>
    <row r="258" spans="20:47" x14ac:dyDescent="0.4">
      <c r="T258" s="5"/>
      <c r="U258" s="8"/>
      <c r="V258" s="8"/>
      <c r="X258" s="5"/>
      <c r="AB258" s="5"/>
      <c r="AC258" s="8"/>
      <c r="AD258" s="8"/>
      <c r="AE258" s="8"/>
      <c r="AF258" s="8"/>
      <c r="AI258" s="9"/>
      <c r="AN258" s="9"/>
      <c r="AP258" s="8"/>
      <c r="AQ258" s="10"/>
      <c r="AR258" s="10"/>
      <c r="AS258" s="8"/>
      <c r="AT258" s="8"/>
      <c r="AU258" s="8"/>
    </row>
    <row r="259" spans="20:47" x14ac:dyDescent="0.4">
      <c r="T259" s="5"/>
      <c r="U259" s="8"/>
      <c r="V259" s="8"/>
      <c r="X259" s="5"/>
      <c r="AB259" s="5"/>
      <c r="AC259" s="8"/>
      <c r="AD259" s="8"/>
      <c r="AE259" s="8"/>
      <c r="AF259" s="8"/>
      <c r="AI259" s="9"/>
      <c r="AN259" s="9"/>
      <c r="AP259" s="8"/>
      <c r="AQ259" s="10"/>
      <c r="AR259" s="10"/>
      <c r="AS259" s="8"/>
      <c r="AT259" s="8"/>
      <c r="AU259" s="8"/>
    </row>
    <row r="260" spans="20:47" x14ac:dyDescent="0.4">
      <c r="T260" s="5"/>
      <c r="U260" s="8"/>
      <c r="V260" s="8"/>
      <c r="X260" s="5"/>
      <c r="AB260" s="5"/>
      <c r="AC260" s="8"/>
      <c r="AD260" s="8"/>
      <c r="AE260" s="8"/>
      <c r="AF260" s="8"/>
      <c r="AI260" s="9"/>
      <c r="AN260" s="9"/>
      <c r="AP260" s="8"/>
      <c r="AQ260" s="10"/>
      <c r="AR260" s="10"/>
      <c r="AS260" s="8"/>
      <c r="AT260" s="8"/>
      <c r="AU260" s="8"/>
    </row>
    <row r="261" spans="20:47" x14ac:dyDescent="0.4">
      <c r="T261" s="5"/>
      <c r="U261" s="8"/>
      <c r="V261" s="8"/>
      <c r="X261" s="5"/>
      <c r="AB261" s="5"/>
      <c r="AC261" s="8"/>
      <c r="AD261" s="8"/>
      <c r="AE261" s="8"/>
      <c r="AF261" s="8"/>
      <c r="AI261" s="9"/>
      <c r="AN261" s="9"/>
      <c r="AP261" s="8"/>
      <c r="AQ261" s="10"/>
      <c r="AR261" s="10"/>
      <c r="AS261" s="8"/>
      <c r="AT261" s="8"/>
      <c r="AU261" s="8"/>
    </row>
    <row r="262" spans="20:47" x14ac:dyDescent="0.4">
      <c r="T262" s="5"/>
      <c r="U262" s="8"/>
      <c r="V262" s="8"/>
      <c r="X262" s="5"/>
      <c r="AB262" s="5"/>
      <c r="AC262" s="8"/>
      <c r="AD262" s="8"/>
      <c r="AE262" s="8"/>
      <c r="AF262" s="8"/>
      <c r="AI262" s="9"/>
      <c r="AN262" s="9"/>
      <c r="AP262" s="8"/>
      <c r="AQ262" s="10"/>
      <c r="AR262" s="10"/>
      <c r="AS262" s="8"/>
      <c r="AT262" s="8"/>
      <c r="AU262" s="8"/>
    </row>
    <row r="263" spans="20:47" x14ac:dyDescent="0.4">
      <c r="T263" s="5"/>
      <c r="U263" s="8"/>
      <c r="V263" s="8"/>
      <c r="X263" s="5"/>
      <c r="AB263" s="5"/>
      <c r="AC263" s="8"/>
      <c r="AD263" s="8"/>
      <c r="AE263" s="8"/>
      <c r="AF263" s="8"/>
      <c r="AI263" s="9"/>
      <c r="AN263" s="9"/>
      <c r="AP263" s="8"/>
      <c r="AQ263" s="10"/>
      <c r="AR263" s="10"/>
      <c r="AS263" s="8"/>
      <c r="AT263" s="8"/>
      <c r="AU263" s="8"/>
    </row>
    <row r="264" spans="20:47" x14ac:dyDescent="0.4">
      <c r="T264" s="5"/>
      <c r="U264" s="8"/>
      <c r="V264" s="8"/>
      <c r="X264" s="5"/>
      <c r="AB264" s="5"/>
      <c r="AC264" s="8"/>
      <c r="AD264" s="8"/>
      <c r="AE264" s="8"/>
      <c r="AF264" s="8"/>
      <c r="AI264" s="9"/>
      <c r="AN264" s="9"/>
      <c r="AP264" s="8"/>
      <c r="AQ264" s="10"/>
      <c r="AR264" s="10"/>
      <c r="AS264" s="8"/>
      <c r="AT264" s="8"/>
      <c r="AU264" s="8"/>
    </row>
    <row r="265" spans="20:47" x14ac:dyDescent="0.4">
      <c r="T265" s="5"/>
      <c r="U265" s="8"/>
      <c r="V265" s="8"/>
      <c r="X265" s="5"/>
      <c r="AB265" s="5"/>
      <c r="AC265" s="8"/>
      <c r="AD265" s="8"/>
      <c r="AE265" s="8"/>
      <c r="AF265" s="8"/>
      <c r="AI265" s="9"/>
      <c r="AN265" s="9"/>
      <c r="AP265" s="8"/>
      <c r="AQ265" s="10"/>
      <c r="AR265" s="10"/>
      <c r="AS265" s="8"/>
      <c r="AT265" s="8"/>
      <c r="AU265" s="8"/>
    </row>
    <row r="266" spans="20:47" x14ac:dyDescent="0.4">
      <c r="T266" s="5"/>
      <c r="U266" s="8"/>
      <c r="V266" s="8"/>
      <c r="X266" s="5"/>
      <c r="AB266" s="5"/>
      <c r="AC266" s="8"/>
      <c r="AD266" s="8"/>
      <c r="AE266" s="8"/>
      <c r="AF266" s="8"/>
      <c r="AI266" s="9"/>
      <c r="AN266" s="9"/>
      <c r="AP266" s="8"/>
      <c r="AQ266" s="10"/>
      <c r="AR266" s="10"/>
      <c r="AS266" s="8"/>
      <c r="AT266" s="8"/>
      <c r="AU266" s="8"/>
    </row>
    <row r="267" spans="20:47" x14ac:dyDescent="0.4">
      <c r="T267" s="5"/>
      <c r="U267" s="8"/>
      <c r="V267" s="8"/>
      <c r="X267" s="5"/>
      <c r="AB267" s="5"/>
      <c r="AC267" s="8"/>
      <c r="AD267" s="8"/>
      <c r="AE267" s="8"/>
      <c r="AF267" s="8"/>
      <c r="AI267" s="9"/>
      <c r="AN267" s="9"/>
      <c r="AP267" s="8"/>
      <c r="AQ267" s="10"/>
      <c r="AR267" s="10"/>
      <c r="AS267" s="8"/>
      <c r="AT267" s="8"/>
      <c r="AU267" s="8"/>
    </row>
    <row r="268" spans="20:47" x14ac:dyDescent="0.4">
      <c r="T268" s="5"/>
      <c r="U268" s="8"/>
      <c r="V268" s="8"/>
      <c r="X268" s="5"/>
      <c r="AB268" s="5"/>
      <c r="AC268" s="8"/>
      <c r="AD268" s="8"/>
      <c r="AE268" s="8"/>
      <c r="AF268" s="8"/>
      <c r="AI268" s="9"/>
      <c r="AN268" s="9"/>
      <c r="AP268" s="8"/>
      <c r="AQ268" s="10"/>
      <c r="AR268" s="10"/>
      <c r="AS268" s="8"/>
      <c r="AT268" s="8"/>
      <c r="AU268" s="8"/>
    </row>
    <row r="269" spans="20:47" x14ac:dyDescent="0.4">
      <c r="T269" s="5"/>
      <c r="U269" s="8"/>
      <c r="V269" s="8"/>
      <c r="X269" s="5"/>
      <c r="AB269" s="5"/>
      <c r="AC269" s="8"/>
      <c r="AD269" s="8"/>
      <c r="AE269" s="8"/>
      <c r="AF269" s="8"/>
      <c r="AI269" s="9"/>
      <c r="AN269" s="9"/>
      <c r="AP269" s="8"/>
      <c r="AQ269" s="10"/>
      <c r="AR269" s="10"/>
      <c r="AS269" s="8"/>
      <c r="AT269" s="8"/>
      <c r="AU269" s="8"/>
    </row>
    <row r="270" spans="20:47" x14ac:dyDescent="0.4">
      <c r="T270" s="5"/>
      <c r="U270" s="8"/>
      <c r="V270" s="8"/>
      <c r="X270" s="5"/>
      <c r="AB270" s="5"/>
      <c r="AC270" s="8"/>
      <c r="AD270" s="8"/>
      <c r="AE270" s="8"/>
      <c r="AF270" s="8"/>
      <c r="AI270" s="9"/>
      <c r="AN270" s="9"/>
      <c r="AP270" s="8"/>
      <c r="AQ270" s="10"/>
      <c r="AR270" s="10"/>
      <c r="AS270" s="8"/>
      <c r="AT270" s="8"/>
      <c r="AU270" s="8"/>
    </row>
    <row r="271" spans="20:47" x14ac:dyDescent="0.4">
      <c r="T271" s="5"/>
      <c r="U271" s="8"/>
      <c r="V271" s="8"/>
      <c r="X271" s="5"/>
      <c r="AB271" s="5"/>
      <c r="AC271" s="8"/>
      <c r="AD271" s="8"/>
      <c r="AE271" s="8"/>
      <c r="AF271" s="8"/>
      <c r="AI271" s="9"/>
      <c r="AN271" s="9"/>
      <c r="AP271" s="8"/>
      <c r="AQ271" s="10"/>
      <c r="AR271" s="10"/>
      <c r="AS271" s="8"/>
      <c r="AT271" s="8"/>
      <c r="AU271" s="8"/>
    </row>
    <row r="272" spans="20:47" x14ac:dyDescent="0.4">
      <c r="T272" s="5"/>
      <c r="U272" s="8"/>
      <c r="V272" s="8"/>
      <c r="X272" s="5"/>
      <c r="AB272" s="5"/>
      <c r="AC272" s="8"/>
      <c r="AD272" s="8"/>
      <c r="AE272" s="8"/>
      <c r="AF272" s="8"/>
      <c r="AI272" s="9"/>
      <c r="AN272" s="9"/>
      <c r="AP272" s="8"/>
      <c r="AQ272" s="10"/>
      <c r="AR272" s="10"/>
      <c r="AS272" s="8"/>
      <c r="AT272" s="8"/>
      <c r="AU272" s="8"/>
    </row>
    <row r="273" spans="20:47" x14ac:dyDescent="0.4">
      <c r="T273" s="5"/>
      <c r="U273" s="8"/>
      <c r="V273" s="8"/>
      <c r="X273" s="5"/>
      <c r="AB273" s="5"/>
      <c r="AC273" s="8"/>
      <c r="AD273" s="8"/>
      <c r="AE273" s="8"/>
      <c r="AF273" s="8"/>
      <c r="AI273" s="9"/>
      <c r="AN273" s="9"/>
      <c r="AP273" s="8"/>
      <c r="AQ273" s="10"/>
      <c r="AR273" s="10"/>
      <c r="AS273" s="8"/>
      <c r="AT273" s="8"/>
      <c r="AU273" s="8"/>
    </row>
    <row r="274" spans="20:47" x14ac:dyDescent="0.4">
      <c r="T274" s="5"/>
      <c r="U274" s="8"/>
      <c r="V274" s="8"/>
      <c r="X274" s="5"/>
      <c r="AB274" s="5"/>
      <c r="AC274" s="8"/>
      <c r="AD274" s="8"/>
      <c r="AE274" s="8"/>
      <c r="AF274" s="8"/>
      <c r="AI274" s="9"/>
      <c r="AN274" s="9"/>
      <c r="AP274" s="8"/>
      <c r="AQ274" s="10"/>
      <c r="AR274" s="10"/>
      <c r="AS274" s="8"/>
      <c r="AT274" s="8"/>
      <c r="AU274" s="8"/>
    </row>
    <row r="275" spans="20:47" x14ac:dyDescent="0.4">
      <c r="T275" s="5"/>
      <c r="U275" s="8"/>
      <c r="V275" s="8"/>
      <c r="X275" s="5"/>
      <c r="AB275" s="5"/>
      <c r="AC275" s="8"/>
      <c r="AD275" s="8"/>
      <c r="AE275" s="8"/>
      <c r="AF275" s="8"/>
      <c r="AI275" s="9"/>
      <c r="AN275" s="9"/>
      <c r="AP275" s="8"/>
      <c r="AQ275" s="10"/>
      <c r="AR275" s="10"/>
      <c r="AS275" s="8"/>
      <c r="AT275" s="8"/>
      <c r="AU275" s="8"/>
    </row>
    <row r="276" spans="20:47" x14ac:dyDescent="0.4">
      <c r="T276" s="5"/>
      <c r="U276" s="8"/>
      <c r="V276" s="8"/>
      <c r="X276" s="5"/>
      <c r="AB276" s="5"/>
      <c r="AC276" s="8"/>
      <c r="AD276" s="8"/>
      <c r="AE276" s="8"/>
      <c r="AF276" s="8"/>
      <c r="AI276" s="9"/>
      <c r="AN276" s="9"/>
      <c r="AP276" s="8"/>
      <c r="AQ276" s="10"/>
      <c r="AR276" s="10"/>
      <c r="AS276" s="8"/>
      <c r="AT276" s="8"/>
      <c r="AU276" s="8"/>
    </row>
    <row r="277" spans="20:47" x14ac:dyDescent="0.4">
      <c r="T277" s="5"/>
      <c r="U277" s="8"/>
      <c r="V277" s="8"/>
      <c r="X277" s="5"/>
      <c r="AB277" s="5"/>
      <c r="AC277" s="8"/>
      <c r="AD277" s="8"/>
      <c r="AE277" s="8"/>
      <c r="AF277" s="8"/>
      <c r="AI277" s="9"/>
      <c r="AN277" s="9"/>
      <c r="AP277" s="8"/>
      <c r="AQ277" s="10"/>
      <c r="AR277" s="10"/>
      <c r="AS277" s="8"/>
      <c r="AT277" s="8"/>
      <c r="AU277" s="8"/>
    </row>
    <row r="278" spans="20:47" x14ac:dyDescent="0.4">
      <c r="T278" s="5"/>
      <c r="U278" s="8"/>
      <c r="V278" s="8"/>
      <c r="X278" s="5"/>
      <c r="AB278" s="5"/>
      <c r="AC278" s="8"/>
      <c r="AD278" s="8"/>
      <c r="AE278" s="8"/>
      <c r="AF278" s="8"/>
      <c r="AI278" s="9"/>
      <c r="AN278" s="9"/>
      <c r="AP278" s="8"/>
      <c r="AQ278" s="10"/>
      <c r="AR278" s="10"/>
      <c r="AS278" s="8"/>
      <c r="AT278" s="8"/>
      <c r="AU278" s="8"/>
    </row>
    <row r="279" spans="20:47" x14ac:dyDescent="0.4">
      <c r="T279" s="5"/>
      <c r="U279" s="8"/>
      <c r="V279" s="8"/>
      <c r="X279" s="5"/>
      <c r="AB279" s="5"/>
      <c r="AC279" s="8"/>
      <c r="AD279" s="8"/>
      <c r="AE279" s="8"/>
      <c r="AF279" s="8"/>
      <c r="AI279" s="9"/>
      <c r="AN279" s="9"/>
      <c r="AP279" s="8"/>
      <c r="AQ279" s="10"/>
      <c r="AR279" s="10"/>
      <c r="AS279" s="8"/>
      <c r="AT279" s="8"/>
      <c r="AU279" s="8"/>
    </row>
    <row r="280" spans="20:47" x14ac:dyDescent="0.4">
      <c r="T280" s="5"/>
      <c r="U280" s="8"/>
      <c r="V280" s="8"/>
      <c r="X280" s="5"/>
      <c r="AB280" s="5"/>
      <c r="AC280" s="8"/>
      <c r="AD280" s="8"/>
      <c r="AE280" s="8"/>
      <c r="AF280" s="8"/>
      <c r="AI280" s="9"/>
      <c r="AN280" s="9"/>
      <c r="AP280" s="8"/>
      <c r="AQ280" s="10"/>
      <c r="AR280" s="10"/>
      <c r="AS280" s="8"/>
      <c r="AT280" s="8"/>
      <c r="AU280" s="8"/>
    </row>
    <row r="281" spans="20:47" x14ac:dyDescent="0.4">
      <c r="T281" s="5"/>
      <c r="U281" s="8"/>
      <c r="V281" s="8"/>
      <c r="X281" s="5"/>
      <c r="AB281" s="5"/>
      <c r="AC281" s="8"/>
      <c r="AD281" s="8"/>
      <c r="AE281" s="8"/>
      <c r="AF281" s="8"/>
      <c r="AI281" s="9"/>
      <c r="AN281" s="9"/>
      <c r="AP281" s="8"/>
      <c r="AQ281" s="10"/>
      <c r="AR281" s="10"/>
      <c r="AS281" s="8"/>
      <c r="AT281" s="8"/>
      <c r="AU281" s="8"/>
    </row>
    <row r="282" spans="20:47" x14ac:dyDescent="0.4">
      <c r="T282" s="5"/>
      <c r="U282" s="8"/>
      <c r="V282" s="8"/>
      <c r="X282" s="5"/>
      <c r="AB282" s="5"/>
      <c r="AC282" s="8"/>
      <c r="AD282" s="8"/>
      <c r="AE282" s="8"/>
      <c r="AF282" s="8"/>
      <c r="AI282" s="9"/>
      <c r="AN282" s="9"/>
      <c r="AP282" s="8"/>
      <c r="AQ282" s="10"/>
      <c r="AR282" s="10"/>
      <c r="AS282" s="8"/>
      <c r="AT282" s="8"/>
      <c r="AU282" s="8"/>
    </row>
    <row r="283" spans="20:47" x14ac:dyDescent="0.4">
      <c r="T283" s="5"/>
      <c r="U283" s="8"/>
      <c r="V283" s="8"/>
      <c r="X283" s="5"/>
      <c r="AB283" s="5"/>
      <c r="AC283" s="8"/>
      <c r="AD283" s="8"/>
      <c r="AE283" s="8"/>
      <c r="AF283" s="8"/>
      <c r="AI283" s="9"/>
      <c r="AN283" s="9"/>
      <c r="AP283" s="8"/>
      <c r="AQ283" s="10"/>
      <c r="AR283" s="10"/>
      <c r="AS283" s="8"/>
      <c r="AT283" s="8"/>
      <c r="AU283" s="8"/>
    </row>
    <row r="284" spans="20:47" x14ac:dyDescent="0.4">
      <c r="T284" s="5"/>
      <c r="U284" s="8"/>
      <c r="V284" s="8"/>
      <c r="X284" s="5"/>
      <c r="AB284" s="5"/>
      <c r="AC284" s="8"/>
      <c r="AD284" s="8"/>
      <c r="AE284" s="8"/>
      <c r="AF284" s="8"/>
      <c r="AI284" s="9"/>
      <c r="AN284" s="9"/>
      <c r="AP284" s="8"/>
      <c r="AQ284" s="10"/>
      <c r="AR284" s="10"/>
      <c r="AS284" s="8"/>
      <c r="AT284" s="8"/>
      <c r="AU284" s="8"/>
    </row>
    <row r="285" spans="20:47" x14ac:dyDescent="0.4">
      <c r="T285" s="5"/>
      <c r="U285" s="8"/>
      <c r="V285" s="8"/>
      <c r="X285" s="5"/>
      <c r="AB285" s="5"/>
      <c r="AC285" s="8"/>
      <c r="AD285" s="8"/>
      <c r="AE285" s="8"/>
      <c r="AF285" s="8"/>
      <c r="AI285" s="9"/>
      <c r="AN285" s="9"/>
      <c r="AP285" s="8"/>
      <c r="AQ285" s="10"/>
      <c r="AR285" s="10"/>
      <c r="AS285" s="8"/>
      <c r="AT285" s="8"/>
      <c r="AU285" s="8"/>
    </row>
    <row r="286" spans="20:47" x14ac:dyDescent="0.4">
      <c r="T286" s="5"/>
      <c r="U286" s="8"/>
      <c r="V286" s="8"/>
      <c r="X286" s="5"/>
      <c r="AB286" s="5"/>
      <c r="AC286" s="8"/>
      <c r="AD286" s="8"/>
      <c r="AE286" s="8"/>
      <c r="AF286" s="8"/>
      <c r="AI286" s="9"/>
      <c r="AN286" s="9"/>
      <c r="AP286" s="8"/>
      <c r="AQ286" s="10"/>
      <c r="AR286" s="10"/>
      <c r="AS286" s="8"/>
      <c r="AT286" s="8"/>
      <c r="AU286" s="8"/>
    </row>
    <row r="287" spans="20:47" x14ac:dyDescent="0.4">
      <c r="T287" s="5"/>
      <c r="U287" s="8"/>
      <c r="V287" s="8"/>
      <c r="X287" s="5"/>
      <c r="AB287" s="5"/>
      <c r="AC287" s="8"/>
      <c r="AD287" s="8"/>
      <c r="AE287" s="8"/>
      <c r="AF287" s="8"/>
      <c r="AI287" s="9"/>
      <c r="AN287" s="9"/>
      <c r="AP287" s="8"/>
      <c r="AQ287" s="10"/>
      <c r="AR287" s="10"/>
      <c r="AS287" s="8"/>
      <c r="AT287" s="8"/>
      <c r="AU287" s="8"/>
    </row>
    <row r="288" spans="20:47" x14ac:dyDescent="0.4">
      <c r="T288" s="5"/>
      <c r="U288" s="8"/>
      <c r="V288" s="8"/>
      <c r="X288" s="5"/>
      <c r="AB288" s="5"/>
      <c r="AC288" s="8"/>
      <c r="AD288" s="8"/>
      <c r="AE288" s="8"/>
      <c r="AF288" s="8"/>
      <c r="AI288" s="9"/>
      <c r="AN288" s="9"/>
      <c r="AP288" s="8"/>
      <c r="AQ288" s="10"/>
      <c r="AR288" s="10"/>
      <c r="AS288" s="8"/>
      <c r="AT288" s="8"/>
      <c r="AU288" s="8"/>
    </row>
    <row r="289" spans="20:47" x14ac:dyDescent="0.4">
      <c r="T289" s="5"/>
      <c r="U289" s="8"/>
      <c r="V289" s="8"/>
      <c r="X289" s="5"/>
      <c r="AB289" s="5"/>
      <c r="AC289" s="8"/>
      <c r="AD289" s="8"/>
      <c r="AE289" s="8"/>
      <c r="AF289" s="8"/>
      <c r="AI289" s="9"/>
      <c r="AN289" s="9"/>
      <c r="AP289" s="8"/>
      <c r="AQ289" s="10"/>
      <c r="AR289" s="10"/>
      <c r="AS289" s="8"/>
      <c r="AT289" s="8"/>
      <c r="AU289" s="8"/>
    </row>
    <row r="290" spans="20:47" x14ac:dyDescent="0.4">
      <c r="T290" s="5"/>
      <c r="U290" s="8"/>
      <c r="V290" s="8"/>
      <c r="X290" s="5"/>
      <c r="AB290" s="5"/>
      <c r="AC290" s="8"/>
      <c r="AD290" s="8"/>
      <c r="AE290" s="8"/>
      <c r="AF290" s="8"/>
      <c r="AI290" s="9"/>
      <c r="AN290" s="9"/>
      <c r="AP290" s="8"/>
      <c r="AQ290" s="10"/>
      <c r="AR290" s="10"/>
      <c r="AS290" s="8"/>
      <c r="AT290" s="8"/>
      <c r="AU290" s="8"/>
    </row>
    <row r="291" spans="20:47" x14ac:dyDescent="0.4">
      <c r="T291" s="5"/>
      <c r="U291" s="8"/>
      <c r="V291" s="8"/>
      <c r="X291" s="5"/>
      <c r="AB291" s="5"/>
      <c r="AC291" s="8"/>
      <c r="AD291" s="8"/>
      <c r="AE291" s="8"/>
      <c r="AF291" s="8"/>
      <c r="AI291" s="9"/>
      <c r="AN291" s="9"/>
      <c r="AP291" s="8"/>
      <c r="AQ291" s="10"/>
      <c r="AR291" s="10"/>
      <c r="AS291" s="8"/>
      <c r="AT291" s="8"/>
      <c r="AU291" s="8"/>
    </row>
    <row r="292" spans="20:47" x14ac:dyDescent="0.4">
      <c r="T292" s="5"/>
      <c r="U292" s="8"/>
      <c r="V292" s="8"/>
      <c r="X292" s="5"/>
      <c r="AB292" s="5"/>
      <c r="AC292" s="8"/>
      <c r="AD292" s="8"/>
      <c r="AE292" s="8"/>
      <c r="AF292" s="8"/>
      <c r="AI292" s="9"/>
      <c r="AN292" s="9"/>
      <c r="AP292" s="8"/>
      <c r="AQ292" s="10"/>
      <c r="AR292" s="10"/>
      <c r="AS292" s="8"/>
      <c r="AT292" s="8"/>
      <c r="AU292" s="8"/>
    </row>
    <row r="293" spans="20:47" x14ac:dyDescent="0.4">
      <c r="T293" s="5"/>
      <c r="U293" s="8"/>
      <c r="V293" s="8"/>
      <c r="X293" s="5"/>
      <c r="AB293" s="5"/>
      <c r="AC293" s="8"/>
      <c r="AD293" s="8"/>
      <c r="AE293" s="8"/>
      <c r="AF293" s="8"/>
      <c r="AI293" s="9"/>
      <c r="AN293" s="9"/>
      <c r="AP293" s="8"/>
      <c r="AQ293" s="10"/>
      <c r="AR293" s="10"/>
      <c r="AS293" s="8"/>
      <c r="AT293" s="8"/>
      <c r="AU293" s="8"/>
    </row>
    <row r="294" spans="20:47" x14ac:dyDescent="0.4">
      <c r="T294" s="5"/>
      <c r="U294" s="8"/>
      <c r="V294" s="8"/>
      <c r="X294" s="5"/>
      <c r="AB294" s="5"/>
      <c r="AC294" s="8"/>
      <c r="AD294" s="8"/>
      <c r="AE294" s="8"/>
      <c r="AF294" s="8"/>
      <c r="AI294" s="9"/>
      <c r="AN294" s="9"/>
      <c r="AP294" s="8"/>
      <c r="AQ294" s="10"/>
      <c r="AR294" s="10"/>
      <c r="AS294" s="8"/>
      <c r="AT294" s="8"/>
      <c r="AU294" s="8"/>
    </row>
    <row r="295" spans="20:47" x14ac:dyDescent="0.4">
      <c r="T295" s="5"/>
      <c r="U295" s="8"/>
      <c r="V295" s="8"/>
      <c r="X295" s="5"/>
      <c r="AB295" s="5"/>
      <c r="AC295" s="8"/>
      <c r="AD295" s="8"/>
      <c r="AE295" s="8"/>
      <c r="AF295" s="8"/>
      <c r="AI295" s="9"/>
      <c r="AN295" s="9"/>
      <c r="AP295" s="8"/>
      <c r="AQ295" s="10"/>
      <c r="AR295" s="10"/>
      <c r="AS295" s="8"/>
      <c r="AT295" s="8"/>
      <c r="AU295" s="8"/>
    </row>
    <row r="296" spans="20:47" x14ac:dyDescent="0.4">
      <c r="T296" s="5"/>
      <c r="U296" s="8"/>
      <c r="V296" s="8"/>
      <c r="X296" s="5"/>
      <c r="AB296" s="5"/>
      <c r="AC296" s="8"/>
      <c r="AD296" s="8"/>
      <c r="AE296" s="8"/>
      <c r="AF296" s="8"/>
      <c r="AI296" s="9"/>
      <c r="AN296" s="9"/>
      <c r="AP296" s="8"/>
      <c r="AQ296" s="10"/>
      <c r="AR296" s="10"/>
      <c r="AS296" s="8"/>
      <c r="AT296" s="8"/>
      <c r="AU296" s="8"/>
    </row>
    <row r="297" spans="20:47" x14ac:dyDescent="0.4">
      <c r="T297" s="5"/>
      <c r="U297" s="8"/>
      <c r="V297" s="8"/>
      <c r="X297" s="5"/>
      <c r="AB297" s="5"/>
      <c r="AC297" s="8"/>
      <c r="AD297" s="8"/>
      <c r="AE297" s="8"/>
      <c r="AF297" s="8"/>
      <c r="AI297" s="9"/>
      <c r="AN297" s="9"/>
      <c r="AP297" s="8"/>
      <c r="AQ297" s="10"/>
      <c r="AR297" s="10"/>
      <c r="AS297" s="8"/>
      <c r="AT297" s="8"/>
      <c r="AU297" s="8"/>
    </row>
    <row r="298" spans="20:47" x14ac:dyDescent="0.4">
      <c r="T298" s="5"/>
      <c r="U298" s="8"/>
      <c r="V298" s="8"/>
      <c r="X298" s="5"/>
      <c r="AB298" s="5"/>
      <c r="AC298" s="8"/>
      <c r="AD298" s="8"/>
      <c r="AE298" s="8"/>
      <c r="AF298" s="8"/>
      <c r="AI298" s="9"/>
      <c r="AN298" s="9"/>
      <c r="AP298" s="8"/>
      <c r="AQ298" s="10"/>
      <c r="AR298" s="10"/>
      <c r="AS298" s="8"/>
      <c r="AT298" s="8"/>
      <c r="AU298" s="8"/>
    </row>
    <row r="299" spans="20:47" x14ac:dyDescent="0.4">
      <c r="T299" s="5"/>
      <c r="U299" s="8"/>
      <c r="V299" s="8"/>
      <c r="X299" s="5"/>
      <c r="AB299" s="5"/>
      <c r="AC299" s="8"/>
      <c r="AD299" s="8"/>
      <c r="AE299" s="8"/>
      <c r="AF299" s="8"/>
      <c r="AI299" s="9"/>
      <c r="AN299" s="9"/>
      <c r="AP299" s="8"/>
      <c r="AQ299" s="10"/>
      <c r="AR299" s="10"/>
      <c r="AS299" s="8"/>
      <c r="AT299" s="8"/>
      <c r="AU299" s="8"/>
    </row>
    <row r="300" spans="20:47" x14ac:dyDescent="0.4">
      <c r="T300" s="5"/>
      <c r="U300" s="8"/>
      <c r="V300" s="8"/>
      <c r="X300" s="5"/>
      <c r="AB300" s="5"/>
      <c r="AC300" s="8"/>
      <c r="AD300" s="8"/>
      <c r="AE300" s="8"/>
      <c r="AF300" s="8"/>
      <c r="AI300" s="9"/>
      <c r="AN300" s="9"/>
      <c r="AP300" s="8"/>
      <c r="AQ300" s="10"/>
      <c r="AR300" s="10"/>
      <c r="AS300" s="8"/>
      <c r="AT300" s="8"/>
      <c r="AU300" s="8"/>
    </row>
    <row r="301" spans="20:47" x14ac:dyDescent="0.4">
      <c r="T301" s="5"/>
      <c r="U301" s="8"/>
      <c r="V301" s="8"/>
      <c r="X301" s="5"/>
      <c r="AB301" s="5"/>
      <c r="AC301" s="8"/>
      <c r="AD301" s="8"/>
      <c r="AE301" s="8"/>
      <c r="AF301" s="8"/>
      <c r="AI301" s="9"/>
      <c r="AN301" s="9"/>
      <c r="AP301" s="8"/>
      <c r="AQ301" s="10"/>
      <c r="AR301" s="10"/>
      <c r="AS301" s="8"/>
      <c r="AT301" s="8"/>
      <c r="AU301" s="8"/>
    </row>
    <row r="302" spans="20:47" x14ac:dyDescent="0.4">
      <c r="T302" s="5"/>
      <c r="U302" s="8"/>
      <c r="V302" s="8"/>
      <c r="X302" s="5"/>
      <c r="AB302" s="5"/>
      <c r="AC302" s="8"/>
      <c r="AD302" s="8"/>
      <c r="AE302" s="8"/>
      <c r="AF302" s="8"/>
      <c r="AI302" s="9"/>
      <c r="AN302" s="9"/>
      <c r="AP302" s="8"/>
      <c r="AQ302" s="10"/>
      <c r="AR302" s="10"/>
      <c r="AS302" s="8"/>
      <c r="AT302" s="8"/>
      <c r="AU302" s="8"/>
    </row>
    <row r="303" spans="20:47" x14ac:dyDescent="0.4">
      <c r="T303" s="5"/>
      <c r="U303" s="8"/>
      <c r="V303" s="8"/>
      <c r="X303" s="5"/>
      <c r="AB303" s="5"/>
      <c r="AC303" s="8"/>
      <c r="AD303" s="8"/>
      <c r="AE303" s="8"/>
      <c r="AF303" s="8"/>
      <c r="AI303" s="9"/>
      <c r="AN303" s="9"/>
      <c r="AP303" s="8"/>
      <c r="AQ303" s="10"/>
      <c r="AR303" s="10"/>
      <c r="AS303" s="8"/>
      <c r="AT303" s="8"/>
      <c r="AU303" s="8"/>
    </row>
    <row r="304" spans="20:47" x14ac:dyDescent="0.4">
      <c r="T304" s="5"/>
      <c r="U304" s="8"/>
      <c r="V304" s="8"/>
      <c r="X304" s="5"/>
      <c r="AB304" s="5"/>
      <c r="AC304" s="8"/>
      <c r="AD304" s="8"/>
      <c r="AE304" s="8"/>
      <c r="AF304" s="8"/>
      <c r="AI304" s="9"/>
      <c r="AN304" s="9"/>
      <c r="AP304" s="8"/>
      <c r="AQ304" s="10"/>
      <c r="AR304" s="10"/>
      <c r="AS304" s="8"/>
      <c r="AT304" s="8"/>
      <c r="AU304" s="8"/>
    </row>
    <row r="305" spans="20:47" x14ac:dyDescent="0.4">
      <c r="T305" s="5"/>
      <c r="U305" s="8"/>
      <c r="V305" s="8"/>
      <c r="X305" s="5"/>
      <c r="AB305" s="5"/>
      <c r="AC305" s="8"/>
      <c r="AD305" s="8"/>
      <c r="AE305" s="8"/>
      <c r="AF305" s="8"/>
      <c r="AI305" s="9"/>
      <c r="AN305" s="9"/>
      <c r="AP305" s="8"/>
      <c r="AQ305" s="10"/>
      <c r="AR305" s="10"/>
      <c r="AS305" s="8"/>
      <c r="AT305" s="8"/>
      <c r="AU305" s="8"/>
    </row>
    <row r="306" spans="20:47" x14ac:dyDescent="0.4">
      <c r="T306" s="5"/>
      <c r="U306" s="8"/>
      <c r="V306" s="8"/>
      <c r="X306" s="5"/>
      <c r="AB306" s="5"/>
      <c r="AC306" s="8"/>
      <c r="AD306" s="8"/>
      <c r="AE306" s="8"/>
      <c r="AF306" s="8"/>
      <c r="AI306" s="9"/>
      <c r="AN306" s="9"/>
      <c r="AP306" s="8"/>
      <c r="AQ306" s="10"/>
      <c r="AR306" s="10"/>
      <c r="AS306" s="8"/>
      <c r="AT306" s="8"/>
      <c r="AU306" s="8"/>
    </row>
    <row r="307" spans="20:47" x14ac:dyDescent="0.4">
      <c r="T307" s="5"/>
      <c r="U307" s="8"/>
      <c r="V307" s="8"/>
      <c r="X307" s="5"/>
      <c r="AB307" s="5"/>
      <c r="AC307" s="8"/>
      <c r="AD307" s="8"/>
      <c r="AE307" s="8"/>
      <c r="AF307" s="8"/>
      <c r="AI307" s="9"/>
      <c r="AN307" s="9"/>
      <c r="AP307" s="8"/>
      <c r="AQ307" s="10"/>
      <c r="AR307" s="10"/>
      <c r="AS307" s="8"/>
      <c r="AT307" s="8"/>
      <c r="AU307" s="8"/>
    </row>
    <row r="308" spans="20:47" x14ac:dyDescent="0.4">
      <c r="T308" s="5"/>
      <c r="U308" s="8"/>
      <c r="V308" s="8"/>
      <c r="X308" s="5"/>
      <c r="AB308" s="5"/>
      <c r="AC308" s="8"/>
      <c r="AD308" s="8"/>
      <c r="AE308" s="8"/>
      <c r="AF308" s="8"/>
      <c r="AI308" s="9"/>
      <c r="AN308" s="9"/>
      <c r="AP308" s="8"/>
      <c r="AQ308" s="10"/>
      <c r="AR308" s="10"/>
      <c r="AS308" s="8"/>
      <c r="AT308" s="8"/>
      <c r="AU308" s="8"/>
    </row>
    <row r="309" spans="20:47" x14ac:dyDescent="0.4">
      <c r="T309" s="5"/>
      <c r="U309" s="8"/>
      <c r="V309" s="8"/>
      <c r="X309" s="5"/>
      <c r="AB309" s="5"/>
      <c r="AC309" s="8"/>
      <c r="AD309" s="8"/>
      <c r="AE309" s="8"/>
      <c r="AF309" s="8"/>
      <c r="AI309" s="9"/>
      <c r="AN309" s="9"/>
      <c r="AP309" s="8"/>
      <c r="AQ309" s="10"/>
      <c r="AR309" s="10"/>
      <c r="AS309" s="8"/>
      <c r="AT309" s="8"/>
      <c r="AU309" s="8"/>
    </row>
    <row r="310" spans="20:47" x14ac:dyDescent="0.4">
      <c r="T310" s="5"/>
      <c r="U310" s="8"/>
      <c r="V310" s="8"/>
      <c r="X310" s="5"/>
      <c r="AB310" s="5"/>
      <c r="AC310" s="8"/>
      <c r="AD310" s="8"/>
      <c r="AE310" s="8"/>
      <c r="AF310" s="8"/>
      <c r="AI310" s="9"/>
      <c r="AN310" s="9"/>
      <c r="AP310" s="8"/>
      <c r="AQ310" s="10"/>
      <c r="AR310" s="10"/>
      <c r="AS310" s="8"/>
      <c r="AT310" s="8"/>
      <c r="AU310" s="8"/>
    </row>
    <row r="311" spans="20:47" x14ac:dyDescent="0.4">
      <c r="T311" s="5"/>
      <c r="U311" s="8"/>
      <c r="V311" s="8"/>
      <c r="X311" s="5"/>
      <c r="AB311" s="5"/>
      <c r="AC311" s="8"/>
      <c r="AD311" s="8"/>
      <c r="AE311" s="8"/>
      <c r="AF311" s="8"/>
      <c r="AI311" s="9"/>
      <c r="AN311" s="9"/>
      <c r="AP311" s="8"/>
      <c r="AQ311" s="10"/>
      <c r="AR311" s="10"/>
      <c r="AS311" s="8"/>
      <c r="AT311" s="8"/>
      <c r="AU311" s="8"/>
    </row>
    <row r="312" spans="20:47" x14ac:dyDescent="0.4">
      <c r="T312" s="5"/>
      <c r="U312" s="8"/>
      <c r="V312" s="8"/>
      <c r="X312" s="5"/>
      <c r="AB312" s="5"/>
      <c r="AC312" s="8"/>
      <c r="AD312" s="8"/>
      <c r="AE312" s="8"/>
      <c r="AF312" s="8"/>
      <c r="AI312" s="9"/>
      <c r="AN312" s="9"/>
      <c r="AP312" s="8"/>
      <c r="AQ312" s="10"/>
      <c r="AR312" s="10"/>
      <c r="AS312" s="8"/>
      <c r="AT312" s="8"/>
      <c r="AU312" s="8"/>
    </row>
    <row r="313" spans="20:47" x14ac:dyDescent="0.4">
      <c r="T313" s="5"/>
      <c r="U313" s="8"/>
      <c r="V313" s="8"/>
      <c r="X313" s="5"/>
      <c r="AB313" s="5"/>
      <c r="AC313" s="8"/>
      <c r="AD313" s="8"/>
      <c r="AE313" s="8"/>
      <c r="AF313" s="8"/>
      <c r="AI313" s="9"/>
      <c r="AN313" s="9"/>
      <c r="AP313" s="8"/>
      <c r="AQ313" s="10"/>
      <c r="AR313" s="10"/>
      <c r="AS313" s="8"/>
      <c r="AT313" s="8"/>
      <c r="AU313" s="8"/>
    </row>
    <row r="314" spans="20:47" x14ac:dyDescent="0.4">
      <c r="T314" s="5"/>
      <c r="U314" s="8"/>
      <c r="V314" s="8"/>
      <c r="X314" s="5"/>
      <c r="AB314" s="5"/>
      <c r="AC314" s="8"/>
      <c r="AD314" s="8"/>
      <c r="AE314" s="8"/>
      <c r="AF314" s="8"/>
      <c r="AI314" s="9"/>
      <c r="AN314" s="9"/>
      <c r="AP314" s="8"/>
      <c r="AQ314" s="10"/>
      <c r="AR314" s="10"/>
      <c r="AS314" s="8"/>
      <c r="AT314" s="8"/>
      <c r="AU314" s="8"/>
    </row>
    <row r="315" spans="20:47" x14ac:dyDescent="0.4">
      <c r="T315" s="5"/>
      <c r="U315" s="8"/>
      <c r="V315" s="8"/>
      <c r="X315" s="5"/>
      <c r="AB315" s="5"/>
      <c r="AC315" s="8"/>
      <c r="AD315" s="8"/>
      <c r="AE315" s="8"/>
      <c r="AF315" s="8"/>
      <c r="AI315" s="9"/>
      <c r="AN315" s="9"/>
      <c r="AP315" s="8"/>
      <c r="AQ315" s="10"/>
      <c r="AR315" s="10"/>
      <c r="AS315" s="8"/>
      <c r="AT315" s="8"/>
      <c r="AU315" s="8"/>
    </row>
    <row r="316" spans="20:47" x14ac:dyDescent="0.4">
      <c r="T316" s="5"/>
      <c r="U316" s="8"/>
      <c r="V316" s="8"/>
      <c r="X316" s="5"/>
      <c r="AB316" s="5"/>
      <c r="AC316" s="8"/>
      <c r="AD316" s="8"/>
      <c r="AE316" s="8"/>
      <c r="AF316" s="8"/>
      <c r="AI316" s="9"/>
      <c r="AN316" s="9"/>
      <c r="AP316" s="8"/>
      <c r="AQ316" s="10"/>
      <c r="AR316" s="10"/>
      <c r="AS316" s="8"/>
      <c r="AT316" s="8"/>
      <c r="AU316" s="8"/>
    </row>
    <row r="317" spans="20:47" x14ac:dyDescent="0.4">
      <c r="T317" s="5"/>
      <c r="U317" s="8"/>
      <c r="V317" s="8"/>
      <c r="X317" s="5"/>
      <c r="AB317" s="5"/>
      <c r="AC317" s="8"/>
      <c r="AD317" s="8"/>
      <c r="AE317" s="8"/>
      <c r="AF317" s="8"/>
      <c r="AI317" s="9"/>
      <c r="AN317" s="9"/>
      <c r="AP317" s="8"/>
      <c r="AQ317" s="10"/>
      <c r="AR317" s="10"/>
      <c r="AS317" s="8"/>
      <c r="AT317" s="8"/>
      <c r="AU317" s="8"/>
    </row>
    <row r="318" spans="20:47" x14ac:dyDescent="0.4">
      <c r="T318" s="5"/>
      <c r="U318" s="8"/>
      <c r="V318" s="8"/>
      <c r="X318" s="5"/>
      <c r="AB318" s="5"/>
      <c r="AC318" s="8"/>
      <c r="AD318" s="8"/>
      <c r="AE318" s="8"/>
      <c r="AF318" s="8"/>
      <c r="AI318" s="9"/>
      <c r="AN318" s="9"/>
      <c r="AP318" s="8"/>
      <c r="AQ318" s="10"/>
      <c r="AR318" s="10"/>
      <c r="AS318" s="8"/>
      <c r="AT318" s="8"/>
      <c r="AU318" s="8"/>
    </row>
    <row r="319" spans="20:47" x14ac:dyDescent="0.4">
      <c r="T319" s="5"/>
      <c r="U319" s="8"/>
      <c r="V319" s="8"/>
      <c r="X319" s="5"/>
      <c r="AB319" s="5"/>
      <c r="AC319" s="8"/>
      <c r="AD319" s="8"/>
      <c r="AE319" s="8"/>
      <c r="AF319" s="8"/>
      <c r="AI319" s="9"/>
      <c r="AN319" s="9"/>
      <c r="AP319" s="8"/>
      <c r="AQ319" s="10"/>
      <c r="AR319" s="10"/>
      <c r="AS319" s="8"/>
      <c r="AT319" s="8"/>
      <c r="AU319" s="8"/>
    </row>
    <row r="320" spans="20:47" x14ac:dyDescent="0.4">
      <c r="T320" s="5"/>
      <c r="U320" s="8"/>
      <c r="V320" s="8"/>
      <c r="X320" s="5"/>
      <c r="AB320" s="5"/>
      <c r="AC320" s="8"/>
      <c r="AD320" s="8"/>
      <c r="AE320" s="8"/>
      <c r="AF320" s="8"/>
      <c r="AI320" s="9"/>
      <c r="AN320" s="9"/>
      <c r="AP320" s="8"/>
      <c r="AQ320" s="10"/>
      <c r="AR320" s="10"/>
      <c r="AS320" s="8"/>
      <c r="AT320" s="8"/>
      <c r="AU320" s="8"/>
    </row>
    <row r="321" spans="20:47" x14ac:dyDescent="0.4">
      <c r="T321" s="5"/>
      <c r="U321" s="8"/>
      <c r="V321" s="8"/>
      <c r="X321" s="5"/>
      <c r="AB321" s="5"/>
      <c r="AC321" s="8"/>
      <c r="AD321" s="8"/>
      <c r="AE321" s="8"/>
      <c r="AF321" s="8"/>
      <c r="AI321" s="9"/>
      <c r="AN321" s="9"/>
      <c r="AP321" s="8"/>
      <c r="AQ321" s="10"/>
      <c r="AR321" s="10"/>
      <c r="AS321" s="8"/>
      <c r="AT321" s="8"/>
      <c r="AU321" s="8"/>
    </row>
    <row r="322" spans="20:47" x14ac:dyDescent="0.4">
      <c r="T322" s="5"/>
      <c r="U322" s="8"/>
      <c r="V322" s="8"/>
      <c r="X322" s="5"/>
      <c r="AB322" s="5"/>
      <c r="AC322" s="8"/>
      <c r="AD322" s="8"/>
      <c r="AE322" s="8"/>
      <c r="AF322" s="8"/>
      <c r="AI322" s="9"/>
      <c r="AN322" s="9"/>
      <c r="AP322" s="8"/>
      <c r="AQ322" s="10"/>
      <c r="AR322" s="10"/>
      <c r="AS322" s="8"/>
      <c r="AT322" s="8"/>
      <c r="AU322" s="8"/>
    </row>
    <row r="323" spans="20:47" x14ac:dyDescent="0.4">
      <c r="T323" s="5"/>
      <c r="U323" s="8"/>
      <c r="V323" s="8"/>
      <c r="X323" s="5"/>
      <c r="AB323" s="5"/>
      <c r="AC323" s="8"/>
      <c r="AD323" s="8"/>
      <c r="AE323" s="8"/>
      <c r="AF323" s="8"/>
      <c r="AI323" s="9"/>
      <c r="AN323" s="9"/>
      <c r="AP323" s="8"/>
      <c r="AQ323" s="10"/>
      <c r="AR323" s="10"/>
      <c r="AS323" s="8"/>
      <c r="AT323" s="8"/>
      <c r="AU323" s="8"/>
    </row>
    <row r="324" spans="20:47" x14ac:dyDescent="0.4">
      <c r="T324" s="5"/>
      <c r="U324" s="8"/>
      <c r="V324" s="8"/>
      <c r="X324" s="5"/>
      <c r="AB324" s="5"/>
      <c r="AC324" s="8"/>
      <c r="AD324" s="8"/>
      <c r="AE324" s="8"/>
      <c r="AF324" s="8"/>
      <c r="AI324" s="9"/>
      <c r="AN324" s="9"/>
      <c r="AP324" s="8"/>
      <c r="AQ324" s="10"/>
      <c r="AR324" s="10"/>
      <c r="AS324" s="8"/>
      <c r="AT324" s="8"/>
      <c r="AU324" s="8"/>
    </row>
    <row r="325" spans="20:47" x14ac:dyDescent="0.4">
      <c r="T325" s="5"/>
      <c r="U325" s="8"/>
      <c r="V325" s="8"/>
      <c r="X325" s="5"/>
      <c r="AB325" s="5"/>
      <c r="AC325" s="8"/>
      <c r="AD325" s="8"/>
      <c r="AE325" s="8"/>
      <c r="AF325" s="8"/>
      <c r="AI325" s="9"/>
      <c r="AN325" s="9"/>
      <c r="AP325" s="8"/>
      <c r="AQ325" s="10"/>
      <c r="AR325" s="10"/>
      <c r="AS325" s="8"/>
      <c r="AT325" s="8"/>
      <c r="AU325" s="8"/>
    </row>
    <row r="326" spans="20:47" x14ac:dyDescent="0.4">
      <c r="T326" s="5"/>
      <c r="U326" s="8"/>
      <c r="V326" s="8"/>
      <c r="X326" s="5"/>
      <c r="AB326" s="5"/>
      <c r="AC326" s="8"/>
      <c r="AD326" s="8"/>
      <c r="AE326" s="8"/>
      <c r="AF326" s="8"/>
      <c r="AI326" s="9"/>
      <c r="AN326" s="9"/>
      <c r="AP326" s="8"/>
      <c r="AQ326" s="10"/>
      <c r="AR326" s="10"/>
      <c r="AS326" s="8"/>
      <c r="AT326" s="8"/>
      <c r="AU326" s="8"/>
    </row>
    <row r="327" spans="20:47" x14ac:dyDescent="0.4">
      <c r="T327" s="5"/>
      <c r="U327" s="8"/>
      <c r="V327" s="8"/>
      <c r="X327" s="5"/>
      <c r="AB327" s="5"/>
      <c r="AC327" s="8"/>
      <c r="AD327" s="8"/>
      <c r="AE327" s="8"/>
      <c r="AF327" s="8"/>
      <c r="AI327" s="9"/>
      <c r="AN327" s="9"/>
      <c r="AP327" s="8"/>
      <c r="AQ327" s="10"/>
      <c r="AR327" s="10"/>
      <c r="AS327" s="8"/>
      <c r="AT327" s="8"/>
      <c r="AU327" s="8"/>
    </row>
    <row r="328" spans="20:47" x14ac:dyDescent="0.4">
      <c r="T328" s="5"/>
      <c r="U328" s="8"/>
      <c r="V328" s="8"/>
      <c r="X328" s="5"/>
      <c r="AB328" s="5"/>
      <c r="AC328" s="8"/>
      <c r="AD328" s="8"/>
      <c r="AE328" s="8"/>
      <c r="AF328" s="8"/>
      <c r="AI328" s="9"/>
      <c r="AN328" s="9"/>
      <c r="AP328" s="8"/>
      <c r="AQ328" s="10"/>
      <c r="AR328" s="10"/>
      <c r="AS328" s="8"/>
      <c r="AT328" s="8"/>
      <c r="AU328" s="8"/>
    </row>
    <row r="329" spans="20:47" x14ac:dyDescent="0.4">
      <c r="T329" s="5"/>
      <c r="U329" s="8"/>
      <c r="V329" s="8"/>
      <c r="X329" s="5"/>
      <c r="AB329" s="5"/>
      <c r="AC329" s="8"/>
      <c r="AD329" s="8"/>
      <c r="AE329" s="8"/>
      <c r="AF329" s="8"/>
      <c r="AI329" s="9"/>
      <c r="AN329" s="9"/>
      <c r="AP329" s="8"/>
      <c r="AQ329" s="10"/>
      <c r="AR329" s="10"/>
      <c r="AS329" s="8"/>
      <c r="AT329" s="8"/>
      <c r="AU329" s="8"/>
    </row>
    <row r="330" spans="20:47" x14ac:dyDescent="0.4">
      <c r="T330" s="5"/>
      <c r="U330" s="8"/>
      <c r="V330" s="8"/>
      <c r="X330" s="5"/>
      <c r="AB330" s="5"/>
      <c r="AC330" s="8"/>
      <c r="AD330" s="8"/>
      <c r="AE330" s="8"/>
      <c r="AF330" s="8"/>
      <c r="AI330" s="9"/>
      <c r="AN330" s="9"/>
      <c r="AP330" s="8"/>
      <c r="AQ330" s="10"/>
      <c r="AR330" s="10"/>
      <c r="AS330" s="8"/>
      <c r="AT330" s="8"/>
      <c r="AU330" s="8"/>
    </row>
    <row r="331" spans="20:47" x14ac:dyDescent="0.4">
      <c r="T331" s="5"/>
      <c r="U331" s="8"/>
      <c r="V331" s="8"/>
      <c r="X331" s="5"/>
      <c r="AB331" s="5"/>
      <c r="AC331" s="8"/>
      <c r="AD331" s="8"/>
      <c r="AE331" s="8"/>
      <c r="AF331" s="8"/>
      <c r="AI331" s="9"/>
      <c r="AN331" s="9"/>
      <c r="AP331" s="8"/>
      <c r="AQ331" s="10"/>
      <c r="AR331" s="10"/>
      <c r="AS331" s="8"/>
      <c r="AT331" s="8"/>
      <c r="AU331" s="8"/>
    </row>
    <row r="332" spans="20:47" x14ac:dyDescent="0.4">
      <c r="T332" s="5"/>
      <c r="U332" s="8"/>
      <c r="V332" s="8"/>
      <c r="X332" s="5"/>
      <c r="AB332" s="5"/>
      <c r="AC332" s="8"/>
      <c r="AD332" s="8"/>
      <c r="AE332" s="8"/>
      <c r="AF332" s="8"/>
      <c r="AI332" s="9"/>
      <c r="AN332" s="9"/>
      <c r="AP332" s="8"/>
      <c r="AQ332" s="10"/>
      <c r="AR332" s="10"/>
      <c r="AS332" s="8"/>
      <c r="AT332" s="8"/>
      <c r="AU332" s="8"/>
    </row>
    <row r="333" spans="20:47" x14ac:dyDescent="0.4">
      <c r="T333" s="5"/>
      <c r="U333" s="8"/>
      <c r="V333" s="8"/>
      <c r="X333" s="5"/>
      <c r="AB333" s="5"/>
      <c r="AC333" s="8"/>
      <c r="AD333" s="8"/>
      <c r="AE333" s="8"/>
      <c r="AF333" s="8"/>
      <c r="AI333" s="9"/>
      <c r="AN333" s="9"/>
      <c r="AP333" s="8"/>
      <c r="AQ333" s="10"/>
      <c r="AR333" s="10"/>
      <c r="AS333" s="8"/>
      <c r="AT333" s="8"/>
      <c r="AU333" s="8"/>
    </row>
    <row r="334" spans="20:47" x14ac:dyDescent="0.4">
      <c r="T334" s="5"/>
      <c r="U334" s="8"/>
      <c r="V334" s="8"/>
      <c r="X334" s="5"/>
      <c r="AB334" s="5"/>
      <c r="AC334" s="8"/>
      <c r="AD334" s="8"/>
      <c r="AE334" s="8"/>
      <c r="AF334" s="8"/>
      <c r="AI334" s="9"/>
      <c r="AN334" s="9"/>
      <c r="AP334" s="8"/>
      <c r="AQ334" s="10"/>
      <c r="AR334" s="10"/>
      <c r="AS334" s="8"/>
      <c r="AT334" s="8"/>
      <c r="AU334" s="8"/>
    </row>
    <row r="335" spans="20:47" x14ac:dyDescent="0.4">
      <c r="T335" s="5"/>
      <c r="U335" s="8"/>
      <c r="V335" s="8"/>
      <c r="X335" s="5"/>
      <c r="AB335" s="5"/>
      <c r="AC335" s="8"/>
      <c r="AD335" s="8"/>
      <c r="AE335" s="8"/>
      <c r="AF335" s="8"/>
      <c r="AI335" s="9"/>
      <c r="AN335" s="9"/>
      <c r="AP335" s="8"/>
      <c r="AQ335" s="10"/>
      <c r="AR335" s="10"/>
      <c r="AS335" s="8"/>
      <c r="AT335" s="8"/>
      <c r="AU335" s="8"/>
    </row>
    <row r="336" spans="20:47" x14ac:dyDescent="0.4">
      <c r="T336" s="5"/>
      <c r="U336" s="8"/>
      <c r="V336" s="8"/>
      <c r="X336" s="5"/>
      <c r="AB336" s="5"/>
      <c r="AC336" s="8"/>
      <c r="AD336" s="8"/>
      <c r="AE336" s="8"/>
      <c r="AF336" s="8"/>
      <c r="AI336" s="9"/>
      <c r="AN336" s="9"/>
      <c r="AP336" s="8"/>
      <c r="AQ336" s="10"/>
      <c r="AR336" s="10"/>
      <c r="AS336" s="8"/>
      <c r="AT336" s="8"/>
      <c r="AU336" s="8"/>
    </row>
    <row r="337" spans="20:47" x14ac:dyDescent="0.4">
      <c r="T337" s="5"/>
      <c r="U337" s="8"/>
      <c r="V337" s="8"/>
      <c r="X337" s="5"/>
      <c r="AB337" s="5"/>
      <c r="AC337" s="8"/>
      <c r="AD337" s="8"/>
      <c r="AE337" s="8"/>
      <c r="AF337" s="8"/>
      <c r="AI337" s="9"/>
      <c r="AN337" s="9"/>
      <c r="AP337" s="8"/>
      <c r="AQ337" s="10"/>
      <c r="AR337" s="10"/>
      <c r="AS337" s="8"/>
      <c r="AT337" s="8"/>
      <c r="AU337" s="8"/>
    </row>
    <row r="338" spans="20:47" x14ac:dyDescent="0.4">
      <c r="T338" s="5"/>
      <c r="U338" s="8"/>
      <c r="V338" s="8"/>
      <c r="X338" s="5"/>
      <c r="AB338" s="5"/>
      <c r="AC338" s="8"/>
      <c r="AD338" s="8"/>
      <c r="AE338" s="8"/>
      <c r="AF338" s="8"/>
      <c r="AI338" s="9"/>
      <c r="AN338" s="9"/>
      <c r="AP338" s="8"/>
      <c r="AQ338" s="10"/>
      <c r="AR338" s="10"/>
      <c r="AS338" s="8"/>
      <c r="AT338" s="8"/>
      <c r="AU338" s="8"/>
    </row>
    <row r="339" spans="20:47" x14ac:dyDescent="0.4">
      <c r="T339" s="5"/>
      <c r="U339" s="8"/>
      <c r="V339" s="8"/>
      <c r="X339" s="5"/>
      <c r="AB339" s="5"/>
      <c r="AC339" s="8"/>
      <c r="AD339" s="8"/>
      <c r="AE339" s="8"/>
      <c r="AF339" s="8"/>
      <c r="AI339" s="9"/>
      <c r="AN339" s="9"/>
      <c r="AP339" s="8"/>
      <c r="AQ339" s="10"/>
      <c r="AR339" s="10"/>
      <c r="AS339" s="8"/>
      <c r="AT339" s="8"/>
      <c r="AU339" s="8"/>
    </row>
    <row r="340" spans="20:47" x14ac:dyDescent="0.4">
      <c r="T340" s="5"/>
      <c r="U340" s="8"/>
      <c r="V340" s="8"/>
      <c r="X340" s="5"/>
      <c r="AB340" s="5"/>
      <c r="AC340" s="8"/>
      <c r="AD340" s="8"/>
      <c r="AE340" s="8"/>
      <c r="AF340" s="8"/>
      <c r="AI340" s="9"/>
      <c r="AN340" s="9"/>
      <c r="AP340" s="8"/>
      <c r="AQ340" s="10"/>
      <c r="AR340" s="10"/>
      <c r="AS340" s="8"/>
      <c r="AT340" s="8"/>
      <c r="AU340" s="8"/>
    </row>
    <row r="341" spans="20:47" x14ac:dyDescent="0.4">
      <c r="T341" s="5"/>
      <c r="U341" s="8"/>
      <c r="V341" s="8"/>
      <c r="X341" s="5"/>
      <c r="AB341" s="5"/>
      <c r="AC341" s="8"/>
      <c r="AD341" s="8"/>
      <c r="AE341" s="8"/>
      <c r="AF341" s="8"/>
      <c r="AI341" s="9"/>
      <c r="AN341" s="9"/>
      <c r="AP341" s="8"/>
      <c r="AQ341" s="10"/>
      <c r="AR341" s="10"/>
      <c r="AS341" s="8"/>
      <c r="AT341" s="8"/>
      <c r="AU341" s="8"/>
    </row>
    <row r="342" spans="20:47" x14ac:dyDescent="0.4">
      <c r="T342" s="5"/>
      <c r="U342" s="8"/>
      <c r="V342" s="8"/>
      <c r="X342" s="5"/>
      <c r="AB342" s="5"/>
      <c r="AC342" s="8"/>
      <c r="AD342" s="8"/>
      <c r="AE342" s="8"/>
      <c r="AF342" s="8"/>
      <c r="AI342" s="9"/>
      <c r="AN342" s="9"/>
      <c r="AP342" s="8"/>
      <c r="AQ342" s="10"/>
      <c r="AR342" s="10"/>
      <c r="AS342" s="8"/>
      <c r="AT342" s="8"/>
      <c r="AU342" s="8"/>
    </row>
    <row r="343" spans="20:47" x14ac:dyDescent="0.4">
      <c r="T343" s="5"/>
      <c r="U343" s="8"/>
      <c r="V343" s="8"/>
      <c r="X343" s="5"/>
      <c r="AB343" s="5"/>
      <c r="AC343" s="8"/>
      <c r="AD343" s="8"/>
      <c r="AE343" s="8"/>
      <c r="AF343" s="8"/>
      <c r="AI343" s="9"/>
      <c r="AN343" s="9"/>
      <c r="AP343" s="8"/>
      <c r="AQ343" s="10"/>
      <c r="AR343" s="10"/>
      <c r="AS343" s="8"/>
      <c r="AT343" s="8"/>
      <c r="AU343" s="8"/>
    </row>
    <row r="344" spans="20:47" x14ac:dyDescent="0.4">
      <c r="T344" s="5"/>
      <c r="U344" s="8"/>
      <c r="V344" s="8"/>
      <c r="X344" s="5"/>
      <c r="AB344" s="5"/>
      <c r="AC344" s="8"/>
      <c r="AD344" s="8"/>
      <c r="AE344" s="8"/>
      <c r="AF344" s="8"/>
      <c r="AI344" s="9"/>
      <c r="AN344" s="9"/>
      <c r="AP344" s="8"/>
      <c r="AQ344" s="10"/>
      <c r="AR344" s="10"/>
      <c r="AS344" s="8"/>
      <c r="AT344" s="8"/>
      <c r="AU344" s="8"/>
    </row>
    <row r="345" spans="20:47" x14ac:dyDescent="0.4">
      <c r="T345" s="5"/>
      <c r="U345" s="8"/>
      <c r="V345" s="8"/>
      <c r="X345" s="5"/>
      <c r="AB345" s="5"/>
      <c r="AC345" s="8"/>
      <c r="AD345" s="8"/>
      <c r="AE345" s="8"/>
      <c r="AF345" s="8"/>
      <c r="AI345" s="9"/>
      <c r="AN345" s="9"/>
      <c r="AP345" s="8"/>
      <c r="AQ345" s="10"/>
      <c r="AR345" s="10"/>
      <c r="AS345" s="8"/>
      <c r="AT345" s="8"/>
      <c r="AU345" s="8"/>
    </row>
    <row r="346" spans="20:47" x14ac:dyDescent="0.4">
      <c r="T346" s="5"/>
      <c r="U346" s="8"/>
      <c r="V346" s="8"/>
      <c r="X346" s="5"/>
      <c r="AB346" s="5"/>
      <c r="AC346" s="8"/>
      <c r="AD346" s="8"/>
      <c r="AE346" s="8"/>
      <c r="AF346" s="8"/>
      <c r="AI346" s="9"/>
      <c r="AN346" s="9"/>
      <c r="AP346" s="8"/>
      <c r="AQ346" s="10"/>
      <c r="AR346" s="10"/>
      <c r="AS346" s="8"/>
      <c r="AT346" s="8"/>
      <c r="AU346" s="8"/>
    </row>
    <row r="347" spans="20:47" x14ac:dyDescent="0.4">
      <c r="T347" s="5"/>
      <c r="U347" s="8"/>
      <c r="V347" s="8"/>
      <c r="X347" s="5"/>
      <c r="AB347" s="5"/>
      <c r="AC347" s="8"/>
      <c r="AD347" s="8"/>
      <c r="AE347" s="8"/>
      <c r="AF347" s="8"/>
      <c r="AI347" s="9"/>
      <c r="AN347" s="9"/>
      <c r="AP347" s="8"/>
      <c r="AQ347" s="10"/>
      <c r="AR347" s="10"/>
      <c r="AS347" s="8"/>
      <c r="AT347" s="8"/>
      <c r="AU347" s="8"/>
    </row>
    <row r="348" spans="20:47" x14ac:dyDescent="0.4">
      <c r="T348" s="5"/>
      <c r="U348" s="8"/>
      <c r="V348" s="8"/>
      <c r="X348" s="5"/>
      <c r="AB348" s="5"/>
      <c r="AC348" s="8"/>
      <c r="AD348" s="8"/>
      <c r="AE348" s="8"/>
      <c r="AF348" s="8"/>
      <c r="AI348" s="9"/>
      <c r="AN348" s="9"/>
      <c r="AP348" s="8"/>
      <c r="AQ348" s="10"/>
      <c r="AR348" s="10"/>
      <c r="AS348" s="8"/>
      <c r="AT348" s="8"/>
      <c r="AU348" s="8"/>
    </row>
    <row r="349" spans="20:47" x14ac:dyDescent="0.4">
      <c r="T349" s="5"/>
      <c r="U349" s="8"/>
      <c r="V349" s="8"/>
      <c r="X349" s="5"/>
      <c r="AB349" s="5"/>
      <c r="AC349" s="8"/>
      <c r="AD349" s="8"/>
      <c r="AE349" s="8"/>
      <c r="AF349" s="8"/>
      <c r="AI349" s="9"/>
      <c r="AN349" s="9"/>
      <c r="AP349" s="8"/>
      <c r="AQ349" s="10"/>
      <c r="AR349" s="10"/>
      <c r="AS349" s="8"/>
      <c r="AT349" s="8"/>
      <c r="AU349" s="8"/>
    </row>
    <row r="350" spans="20:47" x14ac:dyDescent="0.4">
      <c r="T350" s="5"/>
      <c r="U350" s="8"/>
      <c r="V350" s="8"/>
      <c r="X350" s="5"/>
      <c r="AB350" s="5"/>
      <c r="AC350" s="8"/>
      <c r="AD350" s="8"/>
      <c r="AE350" s="8"/>
      <c r="AF350" s="8"/>
      <c r="AI350" s="9"/>
      <c r="AN350" s="9"/>
      <c r="AP350" s="8"/>
      <c r="AQ350" s="10"/>
      <c r="AR350" s="10"/>
      <c r="AS350" s="8"/>
      <c r="AT350" s="8"/>
      <c r="AU350" s="8"/>
    </row>
    <row r="351" spans="20:47" x14ac:dyDescent="0.4">
      <c r="T351" s="5"/>
      <c r="U351" s="8"/>
      <c r="V351" s="8"/>
      <c r="X351" s="5"/>
      <c r="AB351" s="5"/>
      <c r="AC351" s="8"/>
      <c r="AD351" s="8"/>
      <c r="AE351" s="8"/>
      <c r="AF351" s="8"/>
      <c r="AI351" s="9"/>
      <c r="AN351" s="9"/>
      <c r="AP351" s="8"/>
      <c r="AQ351" s="10"/>
      <c r="AR351" s="10"/>
      <c r="AS351" s="8"/>
      <c r="AT351" s="8"/>
      <c r="AU351" s="8"/>
    </row>
    <row r="352" spans="20:47" x14ac:dyDescent="0.4">
      <c r="T352" s="5"/>
      <c r="U352" s="8"/>
      <c r="V352" s="8"/>
      <c r="X352" s="5"/>
      <c r="AB352" s="5"/>
      <c r="AC352" s="8"/>
      <c r="AD352" s="8"/>
      <c r="AE352" s="8"/>
      <c r="AF352" s="8"/>
      <c r="AI352" s="9"/>
      <c r="AN352" s="9"/>
      <c r="AP352" s="8"/>
      <c r="AQ352" s="10"/>
      <c r="AR352" s="10"/>
      <c r="AS352" s="8"/>
      <c r="AT352" s="8"/>
      <c r="AU352" s="8"/>
    </row>
    <row r="353" spans="20:47" x14ac:dyDescent="0.4">
      <c r="T353" s="5"/>
      <c r="U353" s="8"/>
      <c r="V353" s="8"/>
      <c r="X353" s="5"/>
      <c r="AB353" s="5"/>
      <c r="AC353" s="8"/>
      <c r="AD353" s="8"/>
      <c r="AE353" s="8"/>
      <c r="AF353" s="8"/>
      <c r="AI353" s="9"/>
      <c r="AN353" s="9"/>
      <c r="AP353" s="8"/>
      <c r="AQ353" s="10"/>
      <c r="AR353" s="10"/>
      <c r="AS353" s="8"/>
      <c r="AT353" s="8"/>
      <c r="AU353" s="8"/>
    </row>
    <row r="354" spans="20:47" x14ac:dyDescent="0.4">
      <c r="T354" s="5"/>
      <c r="U354" s="8"/>
      <c r="V354" s="8"/>
      <c r="X354" s="5"/>
      <c r="AB354" s="5"/>
      <c r="AC354" s="8"/>
      <c r="AD354" s="8"/>
      <c r="AE354" s="8"/>
      <c r="AF354" s="8"/>
      <c r="AI354" s="9"/>
      <c r="AN354" s="9"/>
      <c r="AP354" s="8"/>
      <c r="AQ354" s="10"/>
      <c r="AR354" s="10"/>
      <c r="AS354" s="8"/>
      <c r="AT354" s="8"/>
      <c r="AU354" s="8"/>
    </row>
    <row r="355" spans="20:47" x14ac:dyDescent="0.4">
      <c r="T355" s="5"/>
      <c r="U355" s="8"/>
      <c r="V355" s="8"/>
      <c r="X355" s="5"/>
      <c r="AB355" s="5"/>
      <c r="AC355" s="8"/>
      <c r="AD355" s="8"/>
      <c r="AE355" s="8"/>
      <c r="AF355" s="8"/>
      <c r="AI355" s="9"/>
      <c r="AN355" s="9"/>
      <c r="AP355" s="8"/>
      <c r="AQ355" s="10"/>
      <c r="AR355" s="10"/>
      <c r="AS355" s="8"/>
      <c r="AT355" s="8"/>
      <c r="AU355" s="8"/>
    </row>
    <row r="356" spans="20:47" x14ac:dyDescent="0.4">
      <c r="T356" s="5"/>
      <c r="U356" s="8"/>
      <c r="V356" s="8"/>
      <c r="X356" s="5"/>
      <c r="AB356" s="5"/>
      <c r="AC356" s="8"/>
      <c r="AD356" s="8"/>
      <c r="AE356" s="8"/>
      <c r="AF356" s="8"/>
      <c r="AI356" s="9"/>
      <c r="AN356" s="9"/>
      <c r="AP356" s="8"/>
      <c r="AQ356" s="10"/>
      <c r="AR356" s="10"/>
      <c r="AS356" s="8"/>
      <c r="AT356" s="8"/>
      <c r="AU356" s="8"/>
    </row>
    <row r="357" spans="20:47" x14ac:dyDescent="0.4">
      <c r="T357" s="5"/>
      <c r="U357" s="8"/>
      <c r="V357" s="8"/>
      <c r="X357" s="5"/>
      <c r="AB357" s="5"/>
      <c r="AC357" s="8"/>
      <c r="AD357" s="8"/>
      <c r="AE357" s="8"/>
      <c r="AF357" s="8"/>
      <c r="AI357" s="9"/>
      <c r="AN357" s="9"/>
      <c r="AP357" s="8"/>
      <c r="AQ357" s="10"/>
      <c r="AR357" s="10"/>
      <c r="AS357" s="8"/>
      <c r="AT357" s="8"/>
      <c r="AU357" s="8"/>
    </row>
    <row r="358" spans="20:47" x14ac:dyDescent="0.4">
      <c r="T358" s="5"/>
      <c r="U358" s="8"/>
      <c r="V358" s="8"/>
      <c r="X358" s="5"/>
      <c r="AB358" s="5"/>
      <c r="AC358" s="8"/>
      <c r="AD358" s="8"/>
      <c r="AE358" s="8"/>
      <c r="AF358" s="8"/>
      <c r="AI358" s="9"/>
      <c r="AN358" s="9"/>
      <c r="AP358" s="8"/>
      <c r="AQ358" s="10"/>
      <c r="AR358" s="10"/>
      <c r="AS358" s="8"/>
      <c r="AT358" s="8"/>
      <c r="AU358" s="8"/>
    </row>
    <row r="359" spans="20:47" x14ac:dyDescent="0.4">
      <c r="T359" s="5"/>
      <c r="U359" s="8"/>
      <c r="V359" s="8"/>
      <c r="X359" s="5"/>
      <c r="AB359" s="5"/>
      <c r="AC359" s="8"/>
      <c r="AD359" s="8"/>
      <c r="AE359" s="8"/>
      <c r="AF359" s="8"/>
      <c r="AI359" s="9"/>
      <c r="AN359" s="9"/>
      <c r="AP359" s="8"/>
      <c r="AQ359" s="10"/>
      <c r="AR359" s="10"/>
      <c r="AS359" s="8"/>
      <c r="AT359" s="8"/>
      <c r="AU359" s="8"/>
    </row>
    <row r="360" spans="20:47" x14ac:dyDescent="0.4">
      <c r="T360" s="5"/>
      <c r="U360" s="8"/>
      <c r="V360" s="8"/>
      <c r="X360" s="5"/>
      <c r="AB360" s="5"/>
      <c r="AC360" s="8"/>
      <c r="AD360" s="8"/>
      <c r="AE360" s="8"/>
      <c r="AF360" s="8"/>
      <c r="AI360" s="9"/>
      <c r="AN360" s="9"/>
      <c r="AP360" s="8"/>
      <c r="AQ360" s="10"/>
      <c r="AR360" s="10"/>
      <c r="AS360" s="8"/>
      <c r="AT360" s="8"/>
      <c r="AU360" s="8"/>
    </row>
    <row r="361" spans="20:47" x14ac:dyDescent="0.4">
      <c r="T361" s="5"/>
      <c r="U361" s="8"/>
      <c r="V361" s="8"/>
      <c r="X361" s="5"/>
      <c r="AB361" s="5"/>
      <c r="AC361" s="8"/>
      <c r="AD361" s="8"/>
      <c r="AE361" s="8"/>
      <c r="AF361" s="8"/>
      <c r="AI361" s="9"/>
      <c r="AN361" s="9"/>
      <c r="AP361" s="8"/>
      <c r="AQ361" s="10"/>
      <c r="AR361" s="10"/>
      <c r="AS361" s="8"/>
      <c r="AT361" s="8"/>
      <c r="AU361" s="8"/>
    </row>
    <row r="362" spans="20:47" x14ac:dyDescent="0.4">
      <c r="T362" s="5"/>
      <c r="U362" s="8"/>
      <c r="V362" s="8"/>
      <c r="X362" s="5"/>
      <c r="AB362" s="5"/>
      <c r="AC362" s="8"/>
      <c r="AD362" s="8"/>
      <c r="AE362" s="8"/>
      <c r="AF362" s="8"/>
      <c r="AI362" s="9"/>
      <c r="AN362" s="9"/>
      <c r="AP362" s="8"/>
      <c r="AQ362" s="10"/>
      <c r="AR362" s="10"/>
      <c r="AS362" s="8"/>
      <c r="AT362" s="8"/>
      <c r="AU362" s="8"/>
    </row>
    <row r="363" spans="20:47" x14ac:dyDescent="0.4">
      <c r="T363" s="5"/>
      <c r="U363" s="8"/>
      <c r="V363" s="8"/>
      <c r="X363" s="5"/>
      <c r="AB363" s="5"/>
      <c r="AC363" s="8"/>
      <c r="AD363" s="8"/>
      <c r="AE363" s="8"/>
      <c r="AF363" s="8"/>
      <c r="AI363" s="9"/>
      <c r="AN363" s="9"/>
      <c r="AP363" s="8"/>
      <c r="AQ363" s="10"/>
      <c r="AR363" s="10"/>
      <c r="AS363" s="8"/>
      <c r="AT363" s="8"/>
      <c r="AU363" s="8"/>
    </row>
    <row r="364" spans="20:47" x14ac:dyDescent="0.4">
      <c r="T364" s="5"/>
      <c r="U364" s="8"/>
      <c r="V364" s="8"/>
      <c r="X364" s="5"/>
      <c r="AB364" s="5"/>
      <c r="AC364" s="8"/>
      <c r="AD364" s="8"/>
      <c r="AE364" s="8"/>
      <c r="AF364" s="8"/>
      <c r="AI364" s="9"/>
      <c r="AN364" s="9"/>
      <c r="AP364" s="8"/>
      <c r="AQ364" s="10"/>
      <c r="AR364" s="10"/>
      <c r="AS364" s="8"/>
      <c r="AT364" s="8"/>
      <c r="AU364" s="8"/>
    </row>
    <row r="365" spans="20:47" x14ac:dyDescent="0.4">
      <c r="T365" s="5"/>
      <c r="U365" s="8"/>
      <c r="V365" s="8"/>
      <c r="X365" s="5"/>
      <c r="AB365" s="5"/>
      <c r="AC365" s="8"/>
      <c r="AD365" s="8"/>
      <c r="AE365" s="8"/>
      <c r="AF365" s="8"/>
      <c r="AI365" s="9"/>
      <c r="AN365" s="9"/>
      <c r="AP365" s="8"/>
      <c r="AQ365" s="10"/>
      <c r="AR365" s="10"/>
      <c r="AS365" s="8"/>
      <c r="AT365" s="8"/>
      <c r="AU365" s="8"/>
    </row>
    <row r="366" spans="20:47" x14ac:dyDescent="0.4">
      <c r="T366" s="5"/>
      <c r="U366" s="8"/>
      <c r="V366" s="8"/>
      <c r="X366" s="5"/>
      <c r="AB366" s="5"/>
      <c r="AC366" s="8"/>
      <c r="AD366" s="8"/>
      <c r="AE366" s="8"/>
      <c r="AF366" s="8"/>
      <c r="AI366" s="9"/>
      <c r="AN366" s="9"/>
      <c r="AP366" s="8"/>
      <c r="AQ366" s="10"/>
      <c r="AR366" s="10"/>
      <c r="AS366" s="8"/>
      <c r="AT366" s="8"/>
      <c r="AU366" s="8"/>
    </row>
    <row r="367" spans="20:47" x14ac:dyDescent="0.4">
      <c r="T367" s="5"/>
      <c r="U367" s="8"/>
      <c r="V367" s="8"/>
      <c r="X367" s="5"/>
      <c r="AB367" s="5"/>
      <c r="AC367" s="8"/>
      <c r="AD367" s="8"/>
      <c r="AE367" s="8"/>
      <c r="AF367" s="8"/>
      <c r="AI367" s="9"/>
      <c r="AN367" s="9"/>
      <c r="AP367" s="8"/>
      <c r="AQ367" s="10"/>
      <c r="AR367" s="10"/>
      <c r="AS367" s="8"/>
      <c r="AT367" s="8"/>
      <c r="AU367" s="8"/>
    </row>
    <row r="368" spans="20:47" x14ac:dyDescent="0.4">
      <c r="T368" s="5"/>
      <c r="U368" s="8"/>
      <c r="V368" s="8"/>
      <c r="X368" s="5"/>
      <c r="AB368" s="5"/>
      <c r="AC368" s="8"/>
      <c r="AD368" s="8"/>
      <c r="AE368" s="8"/>
      <c r="AF368" s="8"/>
      <c r="AI368" s="9"/>
      <c r="AN368" s="9"/>
      <c r="AP368" s="8"/>
      <c r="AQ368" s="10"/>
      <c r="AR368" s="10"/>
      <c r="AS368" s="8"/>
      <c r="AT368" s="8"/>
      <c r="AU368" s="8"/>
    </row>
    <row r="369" spans="20:47" x14ac:dyDescent="0.4">
      <c r="T369" s="5"/>
      <c r="U369" s="8"/>
      <c r="V369" s="8"/>
      <c r="X369" s="5"/>
      <c r="AB369" s="5"/>
      <c r="AC369" s="8"/>
      <c r="AD369" s="8"/>
      <c r="AE369" s="8"/>
      <c r="AF369" s="8"/>
      <c r="AI369" s="9"/>
      <c r="AN369" s="9"/>
      <c r="AP369" s="8"/>
      <c r="AQ369" s="10"/>
      <c r="AR369" s="10"/>
      <c r="AS369" s="8"/>
      <c r="AT369" s="8"/>
      <c r="AU369" s="8"/>
    </row>
    <row r="370" spans="20:47" x14ac:dyDescent="0.4">
      <c r="T370" s="5"/>
      <c r="U370" s="8"/>
      <c r="V370" s="8"/>
      <c r="X370" s="5"/>
      <c r="AB370" s="5"/>
      <c r="AC370" s="8"/>
      <c r="AD370" s="8"/>
      <c r="AE370" s="8"/>
      <c r="AF370" s="8"/>
      <c r="AI370" s="9"/>
      <c r="AN370" s="9"/>
      <c r="AP370" s="8"/>
      <c r="AQ370" s="10"/>
      <c r="AR370" s="10"/>
      <c r="AS370" s="8"/>
      <c r="AT370" s="8"/>
      <c r="AU370" s="8"/>
    </row>
    <row r="371" spans="20:47" x14ac:dyDescent="0.4">
      <c r="T371" s="5"/>
      <c r="U371" s="8"/>
      <c r="V371" s="8"/>
      <c r="X371" s="5"/>
      <c r="AB371" s="5"/>
      <c r="AC371" s="8"/>
      <c r="AD371" s="8"/>
      <c r="AE371" s="8"/>
      <c r="AF371" s="8"/>
      <c r="AI371" s="9"/>
      <c r="AN371" s="9"/>
      <c r="AP371" s="8"/>
      <c r="AQ371" s="10"/>
      <c r="AR371" s="10"/>
      <c r="AS371" s="8"/>
      <c r="AT371" s="8"/>
      <c r="AU371" s="8"/>
    </row>
    <row r="372" spans="20:47" x14ac:dyDescent="0.4">
      <c r="T372" s="5"/>
      <c r="U372" s="8"/>
      <c r="V372" s="8"/>
      <c r="X372" s="5"/>
      <c r="AB372" s="5"/>
      <c r="AC372" s="8"/>
      <c r="AD372" s="8"/>
      <c r="AE372" s="8"/>
      <c r="AF372" s="8"/>
      <c r="AI372" s="9"/>
      <c r="AN372" s="9"/>
      <c r="AP372" s="8"/>
      <c r="AQ372" s="10"/>
      <c r="AR372" s="10"/>
      <c r="AS372" s="8"/>
      <c r="AT372" s="8"/>
      <c r="AU372" s="8"/>
    </row>
    <row r="373" spans="20:47" x14ac:dyDescent="0.4">
      <c r="T373" s="5"/>
      <c r="U373" s="8"/>
      <c r="V373" s="8"/>
      <c r="X373" s="5"/>
      <c r="AB373" s="5"/>
      <c r="AC373" s="8"/>
      <c r="AD373" s="8"/>
      <c r="AE373" s="8"/>
      <c r="AF373" s="8"/>
      <c r="AI373" s="9"/>
      <c r="AN373" s="9"/>
      <c r="AP373" s="8"/>
      <c r="AQ373" s="10"/>
      <c r="AR373" s="10"/>
      <c r="AS373" s="8"/>
      <c r="AT373" s="8"/>
      <c r="AU373" s="8"/>
    </row>
    <row r="374" spans="20:47" x14ac:dyDescent="0.4">
      <c r="T374" s="5"/>
      <c r="U374" s="8"/>
      <c r="V374" s="8"/>
      <c r="X374" s="5"/>
      <c r="AB374" s="5"/>
      <c r="AC374" s="8"/>
      <c r="AD374" s="8"/>
      <c r="AE374" s="8"/>
      <c r="AF374" s="8"/>
      <c r="AI374" s="9"/>
      <c r="AN374" s="9"/>
      <c r="AP374" s="8"/>
      <c r="AQ374" s="10"/>
      <c r="AR374" s="10"/>
      <c r="AS374" s="8"/>
      <c r="AT374" s="8"/>
      <c r="AU374" s="8"/>
    </row>
    <row r="375" spans="20:47" x14ac:dyDescent="0.4">
      <c r="T375" s="5"/>
      <c r="U375" s="8"/>
      <c r="V375" s="8"/>
      <c r="X375" s="5"/>
      <c r="AB375" s="5"/>
      <c r="AC375" s="8"/>
      <c r="AD375" s="8"/>
      <c r="AE375" s="8"/>
      <c r="AF375" s="8"/>
      <c r="AI375" s="9"/>
      <c r="AN375" s="9"/>
      <c r="AP375" s="8"/>
      <c r="AQ375" s="10"/>
      <c r="AR375" s="10"/>
      <c r="AS375" s="8"/>
      <c r="AT375" s="8"/>
      <c r="AU375" s="8"/>
    </row>
    <row r="376" spans="20:47" x14ac:dyDescent="0.4">
      <c r="T376" s="5"/>
      <c r="U376" s="8"/>
      <c r="V376" s="8"/>
      <c r="X376" s="5"/>
      <c r="AB376" s="5"/>
      <c r="AC376" s="8"/>
      <c r="AD376" s="8"/>
      <c r="AE376" s="8"/>
      <c r="AF376" s="8"/>
      <c r="AI376" s="9"/>
      <c r="AN376" s="9"/>
      <c r="AP376" s="8"/>
      <c r="AQ376" s="10"/>
      <c r="AR376" s="10"/>
      <c r="AS376" s="8"/>
      <c r="AT376" s="8"/>
      <c r="AU376" s="8"/>
    </row>
    <row r="377" spans="20:47" x14ac:dyDescent="0.4">
      <c r="T377" s="5"/>
      <c r="U377" s="8"/>
      <c r="V377" s="8"/>
      <c r="X377" s="5"/>
      <c r="AB377" s="5"/>
      <c r="AC377" s="8"/>
      <c r="AD377" s="8"/>
      <c r="AE377" s="8"/>
      <c r="AF377" s="8"/>
      <c r="AI377" s="9"/>
      <c r="AN377" s="9"/>
      <c r="AP377" s="8"/>
      <c r="AQ377" s="10"/>
      <c r="AR377" s="10"/>
      <c r="AS377" s="8"/>
      <c r="AT377" s="8"/>
      <c r="AU377" s="8"/>
    </row>
    <row r="378" spans="20:47" x14ac:dyDescent="0.4">
      <c r="T378" s="5"/>
      <c r="U378" s="8"/>
      <c r="V378" s="8"/>
      <c r="X378" s="5"/>
      <c r="AB378" s="5"/>
      <c r="AC378" s="8"/>
      <c r="AD378" s="8"/>
      <c r="AE378" s="8"/>
      <c r="AF378" s="8"/>
      <c r="AI378" s="9"/>
      <c r="AN378" s="9"/>
      <c r="AP378" s="8"/>
      <c r="AQ378" s="10"/>
      <c r="AR378" s="10"/>
      <c r="AS378" s="8"/>
      <c r="AT378" s="8"/>
      <c r="AU378" s="8"/>
    </row>
    <row r="379" spans="20:47" x14ac:dyDescent="0.4">
      <c r="T379" s="5"/>
      <c r="U379" s="8"/>
      <c r="V379" s="8"/>
      <c r="X379" s="5"/>
      <c r="AB379" s="5"/>
      <c r="AC379" s="8"/>
      <c r="AD379" s="8"/>
      <c r="AE379" s="8"/>
      <c r="AF379" s="8"/>
      <c r="AI379" s="9"/>
      <c r="AN379" s="9"/>
      <c r="AP379" s="8"/>
      <c r="AQ379" s="10"/>
      <c r="AR379" s="10"/>
      <c r="AS379" s="8"/>
      <c r="AT379" s="8"/>
      <c r="AU379" s="8"/>
    </row>
    <row r="380" spans="20:47" x14ac:dyDescent="0.4">
      <c r="T380" s="5"/>
      <c r="U380" s="8"/>
      <c r="V380" s="8"/>
      <c r="X380" s="5"/>
      <c r="AB380" s="5"/>
      <c r="AC380" s="8"/>
      <c r="AD380" s="8"/>
      <c r="AE380" s="8"/>
      <c r="AF380" s="8"/>
      <c r="AI380" s="9"/>
      <c r="AN380" s="9"/>
      <c r="AP380" s="8"/>
      <c r="AQ380" s="10"/>
      <c r="AR380" s="10"/>
      <c r="AS380" s="8"/>
      <c r="AT380" s="8"/>
      <c r="AU380" s="8"/>
    </row>
    <row r="381" spans="20:47" x14ac:dyDescent="0.4">
      <c r="T381" s="5"/>
      <c r="U381" s="8"/>
      <c r="V381" s="8"/>
      <c r="X381" s="5"/>
      <c r="AB381" s="5"/>
      <c r="AC381" s="8"/>
      <c r="AD381" s="8"/>
      <c r="AE381" s="8"/>
      <c r="AF381" s="8"/>
      <c r="AI381" s="9"/>
      <c r="AN381" s="9"/>
      <c r="AP381" s="8"/>
      <c r="AQ381" s="10"/>
      <c r="AR381" s="10"/>
      <c r="AS381" s="8"/>
      <c r="AT381" s="8"/>
      <c r="AU381" s="8"/>
    </row>
    <row r="382" spans="20:47" x14ac:dyDescent="0.4">
      <c r="T382" s="5"/>
      <c r="U382" s="8"/>
      <c r="V382" s="8"/>
      <c r="X382" s="5"/>
      <c r="AB382" s="5"/>
      <c r="AC382" s="8"/>
      <c r="AD382" s="8"/>
      <c r="AE382" s="8"/>
      <c r="AF382" s="8"/>
      <c r="AI382" s="9"/>
      <c r="AN382" s="9"/>
      <c r="AP382" s="8"/>
      <c r="AQ382" s="10"/>
      <c r="AR382" s="10"/>
      <c r="AS382" s="8"/>
      <c r="AT382" s="8"/>
      <c r="AU382" s="8"/>
    </row>
    <row r="383" spans="20:47" x14ac:dyDescent="0.4">
      <c r="T383" s="5"/>
      <c r="U383" s="8"/>
      <c r="V383" s="8"/>
      <c r="X383" s="5"/>
      <c r="AB383" s="5"/>
      <c r="AC383" s="8"/>
      <c r="AD383" s="8"/>
      <c r="AE383" s="8"/>
      <c r="AF383" s="8"/>
      <c r="AI383" s="9"/>
      <c r="AN383" s="9"/>
      <c r="AP383" s="8"/>
      <c r="AQ383" s="10"/>
      <c r="AR383" s="10"/>
      <c r="AS383" s="8"/>
      <c r="AT383" s="8"/>
      <c r="AU383" s="8"/>
    </row>
    <row r="384" spans="20:47" x14ac:dyDescent="0.4">
      <c r="T384" s="5"/>
      <c r="U384" s="8"/>
      <c r="V384" s="8"/>
      <c r="X384" s="5"/>
      <c r="AB384" s="5"/>
      <c r="AC384" s="8"/>
      <c r="AD384" s="8"/>
      <c r="AE384" s="8"/>
      <c r="AF384" s="8"/>
      <c r="AI384" s="9"/>
      <c r="AN384" s="9"/>
      <c r="AP384" s="8"/>
      <c r="AQ384" s="10"/>
      <c r="AR384" s="10"/>
      <c r="AS384" s="8"/>
      <c r="AT384" s="8"/>
      <c r="AU384" s="8"/>
    </row>
    <row r="385" spans="20:47" x14ac:dyDescent="0.4">
      <c r="T385" s="5"/>
      <c r="U385" s="8"/>
      <c r="V385" s="8"/>
      <c r="X385" s="5"/>
      <c r="AB385" s="5"/>
      <c r="AC385" s="8"/>
      <c r="AD385" s="8"/>
      <c r="AE385" s="8"/>
      <c r="AF385" s="8"/>
      <c r="AI385" s="9"/>
      <c r="AN385" s="9"/>
      <c r="AP385" s="8"/>
      <c r="AQ385" s="10"/>
      <c r="AR385" s="10"/>
      <c r="AS385" s="8"/>
      <c r="AT385" s="8"/>
      <c r="AU385" s="8"/>
    </row>
    <row r="386" spans="20:47" x14ac:dyDescent="0.4">
      <c r="T386" s="5"/>
      <c r="U386" s="8"/>
      <c r="V386" s="8"/>
      <c r="X386" s="5"/>
      <c r="AB386" s="5"/>
      <c r="AC386" s="8"/>
      <c r="AD386" s="8"/>
      <c r="AE386" s="8"/>
      <c r="AF386" s="8"/>
      <c r="AI386" s="9"/>
      <c r="AN386" s="9"/>
      <c r="AP386" s="8"/>
      <c r="AQ386" s="10"/>
      <c r="AR386" s="10"/>
      <c r="AS386" s="8"/>
      <c r="AT386" s="8"/>
      <c r="AU386" s="8"/>
    </row>
    <row r="387" spans="20:47" x14ac:dyDescent="0.4">
      <c r="T387" s="5"/>
      <c r="U387" s="8"/>
      <c r="V387" s="8"/>
      <c r="X387" s="5"/>
      <c r="AB387" s="5"/>
      <c r="AC387" s="8"/>
      <c r="AD387" s="8"/>
      <c r="AE387" s="8"/>
      <c r="AF387" s="8"/>
      <c r="AI387" s="9"/>
      <c r="AN387" s="9"/>
      <c r="AP387" s="8"/>
      <c r="AQ387" s="10"/>
      <c r="AR387" s="10"/>
      <c r="AS387" s="8"/>
      <c r="AT387" s="8"/>
      <c r="AU387" s="8"/>
    </row>
    <row r="388" spans="20:47" x14ac:dyDescent="0.4">
      <c r="T388" s="5"/>
      <c r="U388" s="8"/>
      <c r="V388" s="8"/>
      <c r="X388" s="5"/>
      <c r="AB388" s="5"/>
      <c r="AC388" s="8"/>
      <c r="AD388" s="8"/>
      <c r="AE388" s="8"/>
      <c r="AF388" s="8"/>
      <c r="AI388" s="9"/>
      <c r="AN388" s="9"/>
      <c r="AP388" s="8"/>
      <c r="AQ388" s="10"/>
      <c r="AR388" s="10"/>
      <c r="AS388" s="8"/>
      <c r="AT388" s="8"/>
      <c r="AU388" s="8"/>
    </row>
    <row r="389" spans="20:47" x14ac:dyDescent="0.4">
      <c r="T389" s="5"/>
      <c r="U389" s="8"/>
      <c r="V389" s="8"/>
      <c r="X389" s="5"/>
      <c r="AB389" s="5"/>
      <c r="AC389" s="8"/>
      <c r="AD389" s="8"/>
      <c r="AE389" s="8"/>
      <c r="AF389" s="8"/>
      <c r="AI389" s="9"/>
      <c r="AN389" s="9"/>
      <c r="AP389" s="8"/>
      <c r="AQ389" s="10"/>
      <c r="AR389" s="10"/>
      <c r="AS389" s="8"/>
      <c r="AT389" s="8"/>
      <c r="AU389" s="8"/>
    </row>
    <row r="390" spans="20:47" x14ac:dyDescent="0.4">
      <c r="T390" s="5"/>
      <c r="U390" s="8"/>
      <c r="V390" s="8"/>
      <c r="X390" s="5"/>
      <c r="AB390" s="5"/>
      <c r="AC390" s="8"/>
      <c r="AD390" s="8"/>
      <c r="AE390" s="8"/>
      <c r="AF390" s="8"/>
      <c r="AI390" s="9"/>
      <c r="AN390" s="9"/>
      <c r="AP390" s="8"/>
      <c r="AQ390" s="10"/>
      <c r="AR390" s="10"/>
      <c r="AS390" s="8"/>
      <c r="AT390" s="8"/>
      <c r="AU390" s="8"/>
    </row>
    <row r="391" spans="20:47" x14ac:dyDescent="0.4">
      <c r="T391" s="5"/>
      <c r="U391" s="8"/>
      <c r="V391" s="8"/>
      <c r="X391" s="5"/>
      <c r="AB391" s="5"/>
      <c r="AC391" s="8"/>
      <c r="AD391" s="8"/>
      <c r="AE391" s="8"/>
      <c r="AF391" s="8"/>
      <c r="AI391" s="9"/>
      <c r="AN391" s="9"/>
      <c r="AP391" s="8"/>
      <c r="AQ391" s="10"/>
      <c r="AR391" s="10"/>
      <c r="AS391" s="8"/>
      <c r="AT391" s="8"/>
      <c r="AU391" s="8"/>
    </row>
    <row r="392" spans="20:47" x14ac:dyDescent="0.4">
      <c r="T392" s="5"/>
      <c r="U392" s="8"/>
      <c r="V392" s="8"/>
      <c r="X392" s="5"/>
      <c r="AB392" s="5"/>
      <c r="AC392" s="8"/>
      <c r="AD392" s="8"/>
      <c r="AE392" s="8"/>
      <c r="AF392" s="8"/>
      <c r="AI392" s="9"/>
      <c r="AN392" s="9"/>
      <c r="AP392" s="8"/>
      <c r="AQ392" s="10"/>
      <c r="AR392" s="10"/>
      <c r="AS392" s="8"/>
      <c r="AT392" s="8"/>
      <c r="AU392" s="8"/>
    </row>
    <row r="393" spans="20:47" x14ac:dyDescent="0.4">
      <c r="T393" s="5"/>
      <c r="U393" s="8"/>
      <c r="V393" s="8"/>
      <c r="X393" s="5"/>
      <c r="AB393" s="5"/>
      <c r="AC393" s="8"/>
      <c r="AD393" s="8"/>
      <c r="AE393" s="8"/>
      <c r="AF393" s="8"/>
      <c r="AI393" s="9"/>
      <c r="AN393" s="9"/>
      <c r="AP393" s="8"/>
      <c r="AQ393" s="10"/>
      <c r="AR393" s="10"/>
      <c r="AS393" s="8"/>
      <c r="AT393" s="8"/>
      <c r="AU393" s="8"/>
    </row>
    <row r="394" spans="20:47" x14ac:dyDescent="0.4">
      <c r="T394" s="5"/>
      <c r="U394" s="8"/>
      <c r="V394" s="8"/>
      <c r="X394" s="5"/>
      <c r="AB394" s="5"/>
      <c r="AC394" s="8"/>
      <c r="AD394" s="8"/>
      <c r="AE394" s="8"/>
      <c r="AF394" s="8"/>
      <c r="AI394" s="9"/>
      <c r="AN394" s="9"/>
      <c r="AP394" s="8"/>
      <c r="AQ394" s="10"/>
      <c r="AR394" s="10"/>
      <c r="AS394" s="8"/>
      <c r="AT394" s="8"/>
      <c r="AU394" s="8"/>
    </row>
    <row r="395" spans="20:47" x14ac:dyDescent="0.4">
      <c r="T395" s="5"/>
      <c r="U395" s="8"/>
      <c r="V395" s="8"/>
      <c r="X395" s="5"/>
      <c r="AB395" s="5"/>
      <c r="AC395" s="8"/>
      <c r="AD395" s="8"/>
      <c r="AE395" s="8"/>
      <c r="AF395" s="8"/>
      <c r="AI395" s="9"/>
      <c r="AN395" s="9"/>
      <c r="AP395" s="8"/>
      <c r="AQ395" s="10"/>
      <c r="AR395" s="10"/>
      <c r="AS395" s="8"/>
      <c r="AT395" s="8"/>
      <c r="AU395" s="8"/>
    </row>
    <row r="396" spans="20:47" x14ac:dyDescent="0.4">
      <c r="T396" s="5"/>
      <c r="U396" s="8"/>
      <c r="V396" s="8"/>
      <c r="X396" s="5"/>
      <c r="AB396" s="5"/>
      <c r="AC396" s="8"/>
      <c r="AD396" s="8"/>
      <c r="AE396" s="8"/>
      <c r="AF396" s="8"/>
      <c r="AI396" s="9"/>
      <c r="AN396" s="9"/>
      <c r="AP396" s="8"/>
      <c r="AQ396" s="10"/>
      <c r="AR396" s="10"/>
      <c r="AS396" s="8"/>
      <c r="AT396" s="8"/>
      <c r="AU396" s="8"/>
    </row>
    <row r="397" spans="20:47" x14ac:dyDescent="0.4">
      <c r="T397" s="5"/>
      <c r="U397" s="8"/>
      <c r="V397" s="8"/>
      <c r="X397" s="5"/>
      <c r="AB397" s="5"/>
      <c r="AC397" s="8"/>
      <c r="AD397" s="8"/>
      <c r="AE397" s="8"/>
      <c r="AF397" s="8"/>
      <c r="AI397" s="9"/>
      <c r="AN397" s="9"/>
      <c r="AP397" s="8"/>
      <c r="AQ397" s="10"/>
      <c r="AR397" s="10"/>
      <c r="AS397" s="8"/>
      <c r="AT397" s="8"/>
      <c r="AU397" s="8"/>
    </row>
    <row r="398" spans="20:47" x14ac:dyDescent="0.4">
      <c r="T398" s="5"/>
      <c r="U398" s="8"/>
      <c r="V398" s="8"/>
      <c r="X398" s="5"/>
      <c r="AB398" s="5"/>
      <c r="AC398" s="8"/>
      <c r="AD398" s="8"/>
      <c r="AE398" s="8"/>
      <c r="AF398" s="8"/>
      <c r="AI398" s="9"/>
      <c r="AN398" s="9"/>
      <c r="AP398" s="8"/>
      <c r="AQ398" s="10"/>
      <c r="AR398" s="10"/>
      <c r="AS398" s="8"/>
      <c r="AT398" s="8"/>
      <c r="AU398" s="8"/>
    </row>
    <row r="399" spans="20:47" x14ac:dyDescent="0.4">
      <c r="T399" s="5"/>
      <c r="U399" s="8"/>
      <c r="V399" s="8"/>
      <c r="X399" s="5"/>
      <c r="AB399" s="5"/>
      <c r="AC399" s="8"/>
      <c r="AD399" s="8"/>
      <c r="AE399" s="8"/>
      <c r="AF399" s="8"/>
      <c r="AI399" s="9"/>
      <c r="AN399" s="9"/>
      <c r="AP399" s="8"/>
      <c r="AQ399" s="10"/>
      <c r="AR399" s="10"/>
      <c r="AS399" s="8"/>
      <c r="AT399" s="8"/>
      <c r="AU399" s="8"/>
    </row>
    <row r="400" spans="20:47" x14ac:dyDescent="0.4">
      <c r="T400" s="5"/>
      <c r="U400" s="8"/>
      <c r="V400" s="8"/>
      <c r="X400" s="5"/>
      <c r="AB400" s="5"/>
      <c r="AC400" s="8"/>
      <c r="AD400" s="8"/>
      <c r="AE400" s="8"/>
      <c r="AF400" s="8"/>
      <c r="AI400" s="9"/>
      <c r="AN400" s="9"/>
      <c r="AP400" s="8"/>
      <c r="AQ400" s="10"/>
      <c r="AR400" s="10"/>
      <c r="AS400" s="8"/>
      <c r="AT400" s="8"/>
      <c r="AU400" s="8"/>
    </row>
    <row r="401" spans="20:47" x14ac:dyDescent="0.4">
      <c r="T401" s="5"/>
      <c r="U401" s="8"/>
      <c r="V401" s="8"/>
      <c r="X401" s="5"/>
      <c r="AB401" s="5"/>
      <c r="AC401" s="8"/>
      <c r="AD401" s="8"/>
      <c r="AE401" s="8"/>
      <c r="AF401" s="8"/>
      <c r="AI401" s="9"/>
      <c r="AN401" s="9"/>
      <c r="AP401" s="8"/>
      <c r="AQ401" s="10"/>
      <c r="AR401" s="10"/>
      <c r="AS401" s="8"/>
      <c r="AT401" s="8"/>
      <c r="AU401" s="8"/>
    </row>
    <row r="402" spans="20:47" x14ac:dyDescent="0.4">
      <c r="T402" s="5"/>
      <c r="U402" s="8"/>
      <c r="V402" s="8"/>
      <c r="X402" s="5"/>
      <c r="AB402" s="5"/>
      <c r="AC402" s="8"/>
      <c r="AD402" s="8"/>
      <c r="AE402" s="8"/>
      <c r="AF402" s="8"/>
      <c r="AI402" s="9"/>
      <c r="AN402" s="9"/>
      <c r="AP402" s="8"/>
      <c r="AQ402" s="10"/>
      <c r="AR402" s="10"/>
      <c r="AS402" s="8"/>
      <c r="AT402" s="8"/>
      <c r="AU402" s="8"/>
    </row>
    <row r="403" spans="20:47" x14ac:dyDescent="0.4">
      <c r="T403" s="5"/>
      <c r="U403" s="8"/>
      <c r="V403" s="8"/>
      <c r="X403" s="5"/>
      <c r="AB403" s="5"/>
      <c r="AC403" s="8"/>
      <c r="AD403" s="8"/>
      <c r="AE403" s="8"/>
      <c r="AF403" s="8"/>
      <c r="AI403" s="9"/>
      <c r="AN403" s="9"/>
      <c r="AP403" s="8"/>
      <c r="AQ403" s="10"/>
      <c r="AR403" s="10"/>
      <c r="AS403" s="8"/>
      <c r="AT403" s="8"/>
      <c r="AU403" s="8"/>
    </row>
    <row r="404" spans="20:47" x14ac:dyDescent="0.4">
      <c r="T404" s="5"/>
      <c r="U404" s="8"/>
      <c r="V404" s="8"/>
      <c r="X404" s="5"/>
      <c r="AB404" s="5"/>
      <c r="AC404" s="8"/>
      <c r="AD404" s="8"/>
      <c r="AE404" s="8"/>
      <c r="AF404" s="8"/>
      <c r="AI404" s="9"/>
      <c r="AN404" s="9"/>
      <c r="AP404" s="8"/>
      <c r="AQ404" s="10"/>
      <c r="AR404" s="10"/>
      <c r="AS404" s="8"/>
      <c r="AT404" s="8"/>
      <c r="AU404" s="8"/>
    </row>
    <row r="405" spans="20:47" x14ac:dyDescent="0.4">
      <c r="T405" s="5"/>
      <c r="U405" s="8"/>
      <c r="V405" s="8"/>
      <c r="X405" s="5"/>
      <c r="AB405" s="5"/>
      <c r="AC405" s="8"/>
      <c r="AD405" s="8"/>
      <c r="AE405" s="8"/>
      <c r="AF405" s="8"/>
      <c r="AI405" s="9"/>
      <c r="AN405" s="9"/>
      <c r="AP405" s="8"/>
      <c r="AQ405" s="10"/>
      <c r="AR405" s="10"/>
      <c r="AS405" s="8"/>
      <c r="AT405" s="8"/>
      <c r="AU405" s="8"/>
    </row>
    <row r="406" spans="20:47" x14ac:dyDescent="0.4">
      <c r="T406" s="5"/>
      <c r="U406" s="8"/>
      <c r="V406" s="8"/>
      <c r="X406" s="5"/>
      <c r="AB406" s="5"/>
      <c r="AC406" s="8"/>
      <c r="AD406" s="8"/>
      <c r="AE406" s="8"/>
      <c r="AF406" s="8"/>
      <c r="AI406" s="9"/>
      <c r="AN406" s="9"/>
      <c r="AP406" s="8"/>
      <c r="AQ406" s="10"/>
      <c r="AR406" s="10"/>
      <c r="AS406" s="8"/>
      <c r="AT406" s="8"/>
      <c r="AU406" s="8"/>
    </row>
    <row r="407" spans="20:47" x14ac:dyDescent="0.4">
      <c r="T407" s="5"/>
      <c r="U407" s="8"/>
      <c r="V407" s="8"/>
      <c r="X407" s="5"/>
      <c r="AB407" s="5"/>
      <c r="AC407" s="8"/>
      <c r="AD407" s="8"/>
      <c r="AE407" s="8"/>
      <c r="AF407" s="8"/>
      <c r="AI407" s="9"/>
      <c r="AN407" s="9"/>
      <c r="AP407" s="8"/>
      <c r="AQ407" s="10"/>
      <c r="AR407" s="10"/>
      <c r="AS407" s="8"/>
      <c r="AT407" s="8"/>
      <c r="AU407" s="8"/>
    </row>
    <row r="408" spans="20:47" x14ac:dyDescent="0.4">
      <c r="T408" s="5"/>
      <c r="U408" s="8"/>
      <c r="V408" s="8"/>
      <c r="X408" s="5"/>
      <c r="AB408" s="5"/>
      <c r="AC408" s="8"/>
      <c r="AD408" s="8"/>
      <c r="AE408" s="8"/>
      <c r="AF408" s="8"/>
      <c r="AI408" s="9"/>
      <c r="AN408" s="9"/>
      <c r="AP408" s="8"/>
      <c r="AQ408" s="10"/>
      <c r="AR408" s="10"/>
      <c r="AS408" s="8"/>
      <c r="AT408" s="8"/>
      <c r="AU408" s="8"/>
    </row>
    <row r="409" spans="20:47" x14ac:dyDescent="0.4">
      <c r="T409" s="5"/>
      <c r="U409" s="8"/>
      <c r="V409" s="8"/>
      <c r="X409" s="5"/>
      <c r="AB409" s="5"/>
      <c r="AC409" s="8"/>
      <c r="AD409" s="8"/>
      <c r="AE409" s="8"/>
      <c r="AF409" s="8"/>
      <c r="AI409" s="9"/>
      <c r="AN409" s="9"/>
      <c r="AP409" s="8"/>
      <c r="AQ409" s="10"/>
      <c r="AR409" s="10"/>
      <c r="AS409" s="8"/>
      <c r="AT409" s="8"/>
      <c r="AU409" s="8"/>
    </row>
    <row r="410" spans="20:47" x14ac:dyDescent="0.4">
      <c r="T410" s="5"/>
      <c r="U410" s="8"/>
      <c r="V410" s="8"/>
      <c r="X410" s="5"/>
      <c r="AB410" s="5"/>
      <c r="AC410" s="8"/>
      <c r="AD410" s="8"/>
      <c r="AE410" s="8"/>
      <c r="AF410" s="8"/>
      <c r="AI410" s="9"/>
      <c r="AN410" s="9"/>
      <c r="AP410" s="8"/>
      <c r="AQ410" s="10"/>
      <c r="AR410" s="10"/>
      <c r="AS410" s="8"/>
      <c r="AT410" s="8"/>
      <c r="AU410" s="8"/>
    </row>
    <row r="411" spans="20:47" x14ac:dyDescent="0.4">
      <c r="T411" s="5"/>
      <c r="U411" s="8"/>
      <c r="V411" s="8"/>
      <c r="X411" s="5"/>
      <c r="AB411" s="5"/>
      <c r="AC411" s="8"/>
      <c r="AD411" s="8"/>
      <c r="AE411" s="8"/>
      <c r="AF411" s="8"/>
      <c r="AI411" s="9"/>
      <c r="AN411" s="9"/>
      <c r="AP411" s="8"/>
      <c r="AQ411" s="10"/>
      <c r="AR411" s="10"/>
      <c r="AS411" s="8"/>
      <c r="AT411" s="8"/>
      <c r="AU411" s="8"/>
    </row>
    <row r="412" spans="20:47" x14ac:dyDescent="0.4">
      <c r="T412" s="5"/>
      <c r="U412" s="8"/>
      <c r="V412" s="8"/>
      <c r="X412" s="5"/>
      <c r="AB412" s="5"/>
      <c r="AC412" s="8"/>
      <c r="AD412" s="8"/>
      <c r="AE412" s="8"/>
      <c r="AF412" s="8"/>
      <c r="AI412" s="9"/>
      <c r="AN412" s="9"/>
      <c r="AP412" s="8"/>
      <c r="AQ412" s="10"/>
      <c r="AR412" s="10"/>
      <c r="AS412" s="8"/>
      <c r="AT412" s="8"/>
      <c r="AU412" s="8"/>
    </row>
    <row r="413" spans="20:47" x14ac:dyDescent="0.4">
      <c r="T413" s="5"/>
      <c r="U413" s="8"/>
      <c r="V413" s="8"/>
      <c r="X413" s="5"/>
      <c r="AB413" s="5"/>
      <c r="AC413" s="8"/>
      <c r="AD413" s="8"/>
      <c r="AE413" s="8"/>
      <c r="AF413" s="8"/>
      <c r="AI413" s="9"/>
      <c r="AN413" s="9"/>
      <c r="AP413" s="8"/>
      <c r="AQ413" s="10"/>
      <c r="AR413" s="10"/>
      <c r="AS413" s="8"/>
      <c r="AT413" s="8"/>
      <c r="AU413" s="8"/>
    </row>
    <row r="414" spans="20:47" x14ac:dyDescent="0.4">
      <c r="T414" s="5"/>
      <c r="U414" s="8"/>
      <c r="V414" s="8"/>
      <c r="X414" s="5"/>
      <c r="AB414" s="5"/>
      <c r="AC414" s="8"/>
      <c r="AD414" s="8"/>
      <c r="AE414" s="8"/>
      <c r="AF414" s="8"/>
      <c r="AI414" s="9"/>
      <c r="AN414" s="9"/>
      <c r="AP414" s="8"/>
      <c r="AQ414" s="10"/>
      <c r="AR414" s="10"/>
      <c r="AS414" s="8"/>
      <c r="AT414" s="8"/>
      <c r="AU414" s="8"/>
    </row>
    <row r="415" spans="20:47" x14ac:dyDescent="0.4">
      <c r="T415" s="5"/>
      <c r="U415" s="8"/>
      <c r="V415" s="8"/>
      <c r="X415" s="5"/>
      <c r="AB415" s="5"/>
      <c r="AC415" s="8"/>
      <c r="AD415" s="8"/>
      <c r="AE415" s="8"/>
      <c r="AF415" s="8"/>
      <c r="AI415" s="9"/>
      <c r="AN415" s="9"/>
      <c r="AP415" s="8"/>
      <c r="AQ415" s="10"/>
      <c r="AR415" s="10"/>
      <c r="AS415" s="8"/>
      <c r="AT415" s="8"/>
      <c r="AU415" s="8"/>
    </row>
    <row r="416" spans="20:47" x14ac:dyDescent="0.4">
      <c r="T416" s="5"/>
      <c r="U416" s="8"/>
      <c r="V416" s="8"/>
      <c r="X416" s="5"/>
      <c r="AB416" s="5"/>
      <c r="AC416" s="8"/>
      <c r="AD416" s="8"/>
      <c r="AE416" s="8"/>
      <c r="AF416" s="8"/>
      <c r="AI416" s="9"/>
      <c r="AN416" s="9"/>
      <c r="AP416" s="8"/>
      <c r="AQ416" s="10"/>
      <c r="AR416" s="10"/>
      <c r="AS416" s="8"/>
      <c r="AT416" s="8"/>
      <c r="AU416" s="8"/>
    </row>
    <row r="417" spans="20:47" x14ac:dyDescent="0.4">
      <c r="T417" s="5"/>
      <c r="U417" s="8"/>
      <c r="V417" s="8"/>
      <c r="X417" s="5"/>
      <c r="AB417" s="5"/>
      <c r="AC417" s="8"/>
      <c r="AD417" s="8"/>
      <c r="AE417" s="8"/>
      <c r="AF417" s="8"/>
      <c r="AI417" s="9"/>
      <c r="AN417" s="9"/>
      <c r="AP417" s="8"/>
      <c r="AQ417" s="10"/>
      <c r="AR417" s="10"/>
      <c r="AS417" s="8"/>
      <c r="AT417" s="8"/>
      <c r="AU417" s="8"/>
    </row>
    <row r="418" spans="20:47" x14ac:dyDescent="0.4">
      <c r="T418" s="5"/>
      <c r="U418" s="8"/>
      <c r="V418" s="8"/>
      <c r="X418" s="5"/>
      <c r="AB418" s="5"/>
      <c r="AC418" s="8"/>
      <c r="AD418" s="8"/>
      <c r="AE418" s="8"/>
      <c r="AF418" s="8"/>
      <c r="AI418" s="9"/>
      <c r="AN418" s="9"/>
      <c r="AP418" s="8"/>
      <c r="AQ418" s="10"/>
      <c r="AR418" s="10"/>
      <c r="AS418" s="8"/>
      <c r="AT418" s="8"/>
      <c r="AU418" s="8"/>
    </row>
    <row r="419" spans="20:47" x14ac:dyDescent="0.4">
      <c r="T419" s="5"/>
      <c r="U419" s="8"/>
      <c r="V419" s="8"/>
      <c r="X419" s="5"/>
      <c r="AB419" s="5"/>
      <c r="AC419" s="8"/>
      <c r="AD419" s="8"/>
      <c r="AE419" s="8"/>
      <c r="AF419" s="8"/>
      <c r="AI419" s="9"/>
      <c r="AN419" s="9"/>
      <c r="AP419" s="8"/>
      <c r="AQ419" s="10"/>
      <c r="AR419" s="10"/>
      <c r="AS419" s="8"/>
      <c r="AT419" s="8"/>
      <c r="AU419" s="8"/>
    </row>
    <row r="420" spans="20:47" x14ac:dyDescent="0.4">
      <c r="T420" s="5"/>
      <c r="U420" s="8"/>
      <c r="V420" s="8"/>
      <c r="X420" s="5"/>
      <c r="AB420" s="5"/>
      <c r="AC420" s="8"/>
      <c r="AD420" s="8"/>
      <c r="AE420" s="8"/>
      <c r="AF420" s="8"/>
      <c r="AI420" s="9"/>
      <c r="AN420" s="9"/>
      <c r="AP420" s="8"/>
      <c r="AQ420" s="10"/>
      <c r="AR420" s="10"/>
      <c r="AS420" s="8"/>
      <c r="AT420" s="8"/>
      <c r="AU420" s="8"/>
    </row>
    <row r="421" spans="20:47" x14ac:dyDescent="0.4">
      <c r="T421" s="5"/>
      <c r="U421" s="8"/>
      <c r="V421" s="8"/>
      <c r="X421" s="5"/>
      <c r="AB421" s="5"/>
      <c r="AC421" s="8"/>
      <c r="AD421" s="8"/>
      <c r="AE421" s="8"/>
      <c r="AF421" s="8"/>
      <c r="AI421" s="9"/>
      <c r="AN421" s="9"/>
      <c r="AP421" s="8"/>
      <c r="AQ421" s="10"/>
      <c r="AR421" s="10"/>
      <c r="AS421" s="8"/>
      <c r="AT421" s="8"/>
      <c r="AU421" s="8"/>
    </row>
    <row r="422" spans="20:47" x14ac:dyDescent="0.4">
      <c r="T422" s="5"/>
      <c r="U422" s="8"/>
      <c r="V422" s="8"/>
      <c r="X422" s="5"/>
      <c r="AB422" s="5"/>
      <c r="AC422" s="8"/>
      <c r="AD422" s="8"/>
      <c r="AE422" s="8"/>
      <c r="AF422" s="8"/>
      <c r="AI422" s="9"/>
      <c r="AN422" s="9"/>
      <c r="AP422" s="8"/>
      <c r="AQ422" s="10"/>
      <c r="AR422" s="10"/>
      <c r="AS422" s="8"/>
      <c r="AT422" s="8"/>
      <c r="AU422" s="8"/>
    </row>
  </sheetData>
  <mergeCells count="21">
    <mergeCell ref="DI9:DM9"/>
    <mergeCell ref="DN9:DU9"/>
    <mergeCell ref="DV9:EA9"/>
    <mergeCell ref="EB9:EJ9"/>
    <mergeCell ref="EK9:EL9"/>
    <mergeCell ref="AY9:BC9"/>
    <mergeCell ref="BD9:BK9"/>
    <mergeCell ref="BL9:BQ9"/>
    <mergeCell ref="BR9:BZ9"/>
    <mergeCell ref="CA9:CB9"/>
    <mergeCell ref="CD9:CH9"/>
    <mergeCell ref="CI9:CP9"/>
    <mergeCell ref="CQ9:CV9"/>
    <mergeCell ref="CW9:DE9"/>
    <mergeCell ref="DF9:DG9"/>
    <mergeCell ref="AV9:AW9"/>
    <mergeCell ref="A8:B8"/>
    <mergeCell ref="T9:X9"/>
    <mergeCell ref="Y9:AF9"/>
    <mergeCell ref="AG9:AL9"/>
    <mergeCell ref="AM9:AU9"/>
  </mergeCells>
  <pageMargins left="0.7" right="0.7" top="0.75" bottom="0.75" header="0.3" footer="0.3"/>
  <pageSetup paperSize="9" orientation="portrait" horizontalDpi="4294967293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A15F-2067-46E8-B8E7-61FD777DB25B}">
  <dimension ref="A1:CE470"/>
  <sheetViews>
    <sheetView zoomScale="70" zoomScaleNormal="70" workbookViewId="0">
      <pane ySplit="4" topLeftCell="A6" activePane="bottomLeft" state="frozen"/>
      <selection activeCell="I1" sqref="I1"/>
      <selection pane="bottomLeft" activeCell="A6" sqref="A6:R52"/>
    </sheetView>
  </sheetViews>
  <sheetFormatPr defaultColWidth="9.15234375" defaultRowHeight="14.6" x14ac:dyDescent="0.4"/>
  <cols>
    <col min="1" max="1" width="11.15234375" style="21" customWidth="1"/>
    <col min="2" max="2" width="10.84375" style="21" customWidth="1"/>
    <col min="3" max="3" width="18" style="21" customWidth="1"/>
    <col min="4" max="4" width="10.3046875" style="21" bestFit="1" customWidth="1"/>
    <col min="5" max="5" width="11.15234375" style="21" customWidth="1"/>
    <col min="6" max="6" width="10.3828125" style="21" customWidth="1"/>
    <col min="7" max="8" width="17.53515625" style="21" customWidth="1"/>
    <col min="9" max="9" width="20.69140625" style="21" customWidth="1"/>
    <col min="10" max="10" width="21.15234375" style="21" customWidth="1"/>
    <col min="11" max="11" width="23.69140625" style="21" customWidth="1"/>
    <col min="12" max="12" width="14" style="21" customWidth="1"/>
    <col min="13" max="13" width="12.3828125" style="21" customWidth="1"/>
    <col min="14" max="14" width="17" style="21" customWidth="1"/>
    <col min="15" max="15" width="12.69140625" style="21" customWidth="1"/>
    <col min="16" max="16" width="12.3046875" style="21" customWidth="1"/>
    <col min="17" max="17" width="13.69140625" style="3" customWidth="1"/>
    <col min="18" max="18" width="16.3828125" style="3" customWidth="1"/>
    <col min="19" max="19" width="20.53515625" style="3" customWidth="1"/>
    <col min="20" max="20" width="11.53515625" style="3" customWidth="1"/>
    <col min="21" max="21" width="12.3046875" style="3" customWidth="1"/>
    <col min="22" max="23" width="13.84375" style="3" customWidth="1"/>
    <col min="24" max="24" width="15.3046875" style="3" customWidth="1"/>
    <col min="25" max="25" width="17.53515625" style="3" customWidth="1"/>
    <col min="26" max="26" width="14.3828125" style="3" customWidth="1"/>
    <col min="27" max="27" width="14.69140625" style="3" customWidth="1"/>
    <col min="28" max="28" width="11.3828125" style="3" customWidth="1"/>
    <col min="29" max="29" width="15.84375" style="3" customWidth="1"/>
    <col min="30" max="30" width="17.15234375" style="3" customWidth="1"/>
    <col min="31" max="31" width="11.15234375" style="3" customWidth="1"/>
    <col min="32" max="32" width="10.84375" style="3" customWidth="1"/>
    <col min="33" max="34" width="13.3828125" style="3" customWidth="1"/>
    <col min="35" max="35" width="10.69140625" style="3" customWidth="1"/>
    <col min="36" max="36" width="12.69140625" style="3" customWidth="1"/>
    <col min="37" max="37" width="13.69140625" style="3" customWidth="1"/>
    <col min="38" max="38" width="9.3046875" style="3" customWidth="1"/>
    <col min="39" max="39" width="11.69140625" style="3" customWidth="1"/>
    <col min="40" max="40" width="12.84375" style="3" customWidth="1"/>
    <col min="41" max="41" width="13.3046875" style="3" customWidth="1"/>
    <col min="42" max="42" width="16.15234375" style="3" customWidth="1"/>
    <col min="43" max="43" width="10.53515625" style="3" customWidth="1"/>
    <col min="44" max="44" width="11.84375" style="3" customWidth="1"/>
    <col min="45" max="45" width="17.53515625" style="3" customWidth="1"/>
    <col min="46" max="46" width="17.84375" style="3" customWidth="1"/>
    <col min="47" max="47" width="12" style="3" customWidth="1"/>
    <col min="48" max="48" width="18.3046875" style="3" customWidth="1"/>
    <col min="49" max="49" width="16.3828125" style="3" customWidth="1"/>
    <col min="50" max="50" width="20.15234375" style="3" customWidth="1"/>
    <col min="51" max="51" width="10.3046875" style="3" customWidth="1"/>
    <col min="52" max="52" width="13.3046875" style="3" customWidth="1"/>
    <col min="53" max="54" width="14.84375" style="3" customWidth="1"/>
    <col min="55" max="55" width="16.3046875" style="3" customWidth="1"/>
    <col min="56" max="56" width="9.53515625" style="3" customWidth="1"/>
    <col min="57" max="57" width="15.3828125" style="3" customWidth="1"/>
    <col min="58" max="58" width="16.69140625" style="3" customWidth="1"/>
    <col min="59" max="59" width="9.53515625" style="3" customWidth="1"/>
    <col min="60" max="60" width="17.84375" style="3" customWidth="1"/>
    <col min="61" max="61" width="17.53515625" style="3" customWidth="1"/>
    <col min="62" max="62" width="13" style="3" customWidth="1"/>
    <col min="63" max="63" width="12.84375" style="3" customWidth="1"/>
    <col min="64" max="64" width="13.69140625" style="3" customWidth="1"/>
    <col min="65" max="65" width="12.84375" style="3" customWidth="1"/>
    <col min="66" max="66" width="11.15234375" style="3" customWidth="1"/>
    <col min="67" max="67" width="14.69140625" style="3" customWidth="1"/>
    <col min="68" max="68" width="15.69140625" style="3" customWidth="1"/>
    <col min="69" max="69" width="11.3046875" style="3" customWidth="1"/>
    <col min="70" max="70" width="13.69140625" style="3" customWidth="1"/>
    <col min="71" max="71" width="14.84375" style="3" customWidth="1"/>
    <col min="72" max="72" width="15.3046875" style="3" customWidth="1"/>
    <col min="73" max="73" width="18.15234375" style="3" customWidth="1"/>
    <col min="74" max="74" width="12.3046875" style="3" customWidth="1"/>
    <col min="75" max="75" width="11.84375" style="3" customWidth="1"/>
    <col min="76" max="76" width="19.53515625" style="3" customWidth="1"/>
    <col min="77" max="77" width="19.84375" style="3" customWidth="1"/>
    <col min="78" max="78" width="14" style="3" customWidth="1"/>
    <col min="79" max="79" width="21.3046875" style="3" customWidth="1"/>
    <col min="80" max="80" width="22" style="3" customWidth="1"/>
    <col min="81" max="81" width="20.69140625" style="3" customWidth="1"/>
    <col min="82" max="82" width="15.3828125" style="3" customWidth="1"/>
    <col min="83" max="83" width="16.15234375" style="3" customWidth="1"/>
    <col min="84" max="16384" width="9.15234375" style="3"/>
  </cols>
  <sheetData>
    <row r="1" spans="1:83" ht="29.25" customHeight="1" x14ac:dyDescent="0.55000000000000004">
      <c r="A1" s="138" t="s">
        <v>132</v>
      </c>
      <c r="B1" s="138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 t="s">
        <v>263</v>
      </c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42"/>
      <c r="AW1" s="42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 t="s">
        <v>110</v>
      </c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80"/>
      <c r="CB1" s="81"/>
      <c r="CC1" s="80"/>
      <c r="CD1" s="80"/>
      <c r="CE1" s="80"/>
    </row>
    <row r="2" spans="1:83" ht="29.25" customHeight="1" x14ac:dyDescent="0.5500000000000000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6"/>
      <c r="R2" s="26"/>
      <c r="S2" s="45"/>
      <c r="T2" s="139"/>
      <c r="U2" s="139"/>
      <c r="V2" s="139"/>
      <c r="W2" s="139"/>
      <c r="X2" s="139"/>
      <c r="Y2" s="135" t="s">
        <v>103</v>
      </c>
      <c r="Z2" s="136"/>
      <c r="AA2" s="136"/>
      <c r="AB2" s="136"/>
      <c r="AC2" s="136"/>
      <c r="AD2" s="136"/>
      <c r="AE2" s="136"/>
      <c r="AF2" s="137"/>
      <c r="AG2" s="136" t="s">
        <v>106</v>
      </c>
      <c r="AH2" s="136"/>
      <c r="AI2" s="136"/>
      <c r="AJ2" s="136"/>
      <c r="AK2" s="136"/>
      <c r="AL2" s="136"/>
      <c r="AM2" s="136" t="s">
        <v>108</v>
      </c>
      <c r="AN2" s="136"/>
      <c r="AO2" s="136"/>
      <c r="AP2" s="136"/>
      <c r="AQ2" s="136"/>
      <c r="AR2" s="136"/>
      <c r="AS2" s="136"/>
      <c r="AT2" s="136"/>
      <c r="AU2" s="136"/>
      <c r="AV2" s="133" t="s">
        <v>116</v>
      </c>
      <c r="AW2" s="134"/>
      <c r="AX2" s="45"/>
      <c r="AY2" s="139"/>
      <c r="AZ2" s="139"/>
      <c r="BA2" s="139"/>
      <c r="BB2" s="139"/>
      <c r="BC2" s="139"/>
      <c r="BD2" s="135" t="s">
        <v>103</v>
      </c>
      <c r="BE2" s="136"/>
      <c r="BF2" s="136"/>
      <c r="BG2" s="136"/>
      <c r="BH2" s="136"/>
      <c r="BI2" s="136"/>
      <c r="BJ2" s="136"/>
      <c r="BK2" s="137"/>
      <c r="BL2" s="136" t="s">
        <v>106</v>
      </c>
      <c r="BM2" s="136"/>
      <c r="BN2" s="136"/>
      <c r="BO2" s="136"/>
      <c r="BP2" s="136"/>
      <c r="BQ2" s="136"/>
      <c r="BR2" s="136" t="s">
        <v>108</v>
      </c>
      <c r="BS2" s="136"/>
      <c r="BT2" s="136"/>
      <c r="BU2" s="136"/>
      <c r="BV2" s="136"/>
      <c r="BW2" s="136"/>
      <c r="BX2" s="136"/>
      <c r="BY2" s="136"/>
      <c r="BZ2" s="136"/>
      <c r="CA2" s="141" t="s">
        <v>116</v>
      </c>
      <c r="CB2" s="142"/>
      <c r="CC2" s="80"/>
      <c r="CD2" s="80"/>
      <c r="CE2" s="80"/>
    </row>
    <row r="3" spans="1:83" s="21" customFormat="1" ht="135" customHeight="1" x14ac:dyDescent="0.4">
      <c r="A3" s="26" t="s">
        <v>117</v>
      </c>
      <c r="B3" s="26" t="s">
        <v>104</v>
      </c>
      <c r="C3" s="26" t="s">
        <v>105</v>
      </c>
      <c r="D3" s="26" t="s">
        <v>119</v>
      </c>
      <c r="E3" s="26" t="s">
        <v>118</v>
      </c>
      <c r="F3" s="26" t="s">
        <v>97</v>
      </c>
      <c r="G3" s="26" t="s">
        <v>120</v>
      </c>
      <c r="H3" s="26" t="s">
        <v>154</v>
      </c>
      <c r="I3" s="37" t="s">
        <v>150</v>
      </c>
      <c r="J3" s="37" t="s">
        <v>124</v>
      </c>
      <c r="K3" s="37" t="s">
        <v>151</v>
      </c>
      <c r="L3" s="26" t="s">
        <v>125</v>
      </c>
      <c r="M3" s="26" t="s">
        <v>126</v>
      </c>
      <c r="N3" s="26" t="s">
        <v>127</v>
      </c>
      <c r="O3" s="26" t="s">
        <v>129</v>
      </c>
      <c r="P3" s="26" t="s">
        <v>133</v>
      </c>
      <c r="Q3" s="26" t="s">
        <v>134</v>
      </c>
      <c r="R3" s="26" t="s">
        <v>135</v>
      </c>
      <c r="S3" s="11" t="s">
        <v>136</v>
      </c>
      <c r="T3" s="11" t="s">
        <v>0</v>
      </c>
      <c r="U3" s="11" t="s">
        <v>1</v>
      </c>
      <c r="V3" s="11" t="s">
        <v>2</v>
      </c>
      <c r="W3" s="11" t="s">
        <v>3</v>
      </c>
      <c r="X3" s="11" t="s">
        <v>4</v>
      </c>
      <c r="Y3" s="15" t="s">
        <v>5</v>
      </c>
      <c r="Z3" s="15" t="s">
        <v>6</v>
      </c>
      <c r="AA3" s="15" t="s">
        <v>7</v>
      </c>
      <c r="AB3" s="16" t="s">
        <v>8</v>
      </c>
      <c r="AC3" s="13" t="s">
        <v>9</v>
      </c>
      <c r="AD3" s="13" t="s">
        <v>10</v>
      </c>
      <c r="AE3" s="13" t="s">
        <v>11</v>
      </c>
      <c r="AF3" s="13" t="s">
        <v>12</v>
      </c>
      <c r="AG3" s="7" t="s">
        <v>107</v>
      </c>
      <c r="AH3" s="7" t="s">
        <v>109</v>
      </c>
      <c r="AI3" s="7" t="s">
        <v>13</v>
      </c>
      <c r="AJ3" s="7" t="s">
        <v>14</v>
      </c>
      <c r="AK3" s="7" t="s">
        <v>15</v>
      </c>
      <c r="AL3" s="19" t="s">
        <v>16</v>
      </c>
      <c r="AM3" s="19" t="s">
        <v>17</v>
      </c>
      <c r="AN3" s="19" t="s">
        <v>18</v>
      </c>
      <c r="AO3" s="19" t="s">
        <v>19</v>
      </c>
      <c r="AP3" s="19" t="s">
        <v>20</v>
      </c>
      <c r="AQ3" s="19" t="s">
        <v>142</v>
      </c>
      <c r="AR3" s="19" t="s">
        <v>143</v>
      </c>
      <c r="AS3" s="19" t="s">
        <v>23</v>
      </c>
      <c r="AT3" s="19" t="s">
        <v>24</v>
      </c>
      <c r="AU3" s="19" t="s">
        <v>25</v>
      </c>
      <c r="AV3" s="40" t="s">
        <v>112</v>
      </c>
      <c r="AW3" s="40" t="s">
        <v>113</v>
      </c>
      <c r="AX3" s="11" t="s">
        <v>136</v>
      </c>
      <c r="AY3" s="11" t="s">
        <v>0</v>
      </c>
      <c r="AZ3" s="11" t="s">
        <v>1</v>
      </c>
      <c r="BA3" s="11" t="s">
        <v>2</v>
      </c>
      <c r="BB3" s="11" t="s">
        <v>3</v>
      </c>
      <c r="BC3" s="11" t="s">
        <v>4</v>
      </c>
      <c r="BD3" s="15" t="s">
        <v>5</v>
      </c>
      <c r="BE3" s="15" t="s">
        <v>6</v>
      </c>
      <c r="BF3" s="15" t="s">
        <v>7</v>
      </c>
      <c r="BG3" s="16" t="s">
        <v>8</v>
      </c>
      <c r="BH3" s="13" t="s">
        <v>9</v>
      </c>
      <c r="BI3" s="13" t="s">
        <v>10</v>
      </c>
      <c r="BJ3" s="13" t="s">
        <v>11</v>
      </c>
      <c r="BK3" s="13" t="s">
        <v>12</v>
      </c>
      <c r="BL3" s="7" t="s">
        <v>107</v>
      </c>
      <c r="BM3" s="7" t="s">
        <v>109</v>
      </c>
      <c r="BN3" s="7" t="s">
        <v>13</v>
      </c>
      <c r="BO3" s="7" t="s">
        <v>14</v>
      </c>
      <c r="BP3" s="7" t="s">
        <v>15</v>
      </c>
      <c r="BQ3" s="19" t="s">
        <v>16</v>
      </c>
      <c r="BR3" s="19" t="s">
        <v>17</v>
      </c>
      <c r="BS3" s="19" t="s">
        <v>18</v>
      </c>
      <c r="BT3" s="19" t="s">
        <v>19</v>
      </c>
      <c r="BU3" s="19" t="s">
        <v>20</v>
      </c>
      <c r="BV3" s="19" t="s">
        <v>142</v>
      </c>
      <c r="BW3" s="19" t="s">
        <v>143</v>
      </c>
      <c r="BX3" s="19" t="s">
        <v>23</v>
      </c>
      <c r="BY3" s="19" t="s">
        <v>24</v>
      </c>
      <c r="BZ3" s="19" t="s">
        <v>25</v>
      </c>
      <c r="CA3" s="82" t="s">
        <v>112</v>
      </c>
      <c r="CB3" s="83" t="s">
        <v>113</v>
      </c>
      <c r="CC3" s="83" t="s">
        <v>258</v>
      </c>
      <c r="CD3" s="83" t="s">
        <v>259</v>
      </c>
      <c r="CE3" s="83" t="s">
        <v>260</v>
      </c>
    </row>
    <row r="4" spans="1:83" s="1" customFormat="1" ht="46.5" customHeight="1" thickBot="1" x14ac:dyDescent="0.45">
      <c r="A4" s="25" t="s">
        <v>93</v>
      </c>
      <c r="B4" s="25" t="s">
        <v>122</v>
      </c>
      <c r="C4" s="25" t="s">
        <v>121</v>
      </c>
      <c r="D4" s="25" t="s">
        <v>95</v>
      </c>
      <c r="E4" s="25" t="s">
        <v>96</v>
      </c>
      <c r="F4" s="25" t="s">
        <v>97</v>
      </c>
      <c r="G4" s="25" t="s">
        <v>101</v>
      </c>
      <c r="H4" s="25" t="s">
        <v>252</v>
      </c>
      <c r="I4" s="25" t="s">
        <v>153</v>
      </c>
      <c r="J4" s="25" t="s">
        <v>123</v>
      </c>
      <c r="K4" s="25" t="s">
        <v>152</v>
      </c>
      <c r="L4" s="25" t="s">
        <v>98</v>
      </c>
      <c r="M4" s="25" t="s">
        <v>99</v>
      </c>
      <c r="N4" s="25" t="s">
        <v>128</v>
      </c>
      <c r="O4" s="25" t="s">
        <v>102</v>
      </c>
      <c r="P4" s="25" t="s">
        <v>92</v>
      </c>
      <c r="Q4" s="25" t="s">
        <v>51</v>
      </c>
      <c r="R4" s="25" t="s">
        <v>52</v>
      </c>
      <c r="S4" s="47" t="s">
        <v>100</v>
      </c>
      <c r="T4" s="12" t="s">
        <v>50</v>
      </c>
      <c r="U4" s="12" t="s">
        <v>47</v>
      </c>
      <c r="V4" s="12" t="s">
        <v>48</v>
      </c>
      <c r="W4" s="12" t="s">
        <v>49</v>
      </c>
      <c r="X4" s="12" t="s">
        <v>26</v>
      </c>
      <c r="Y4" s="17" t="s">
        <v>5</v>
      </c>
      <c r="Z4" s="17" t="s">
        <v>27</v>
      </c>
      <c r="AA4" s="17" t="s">
        <v>28</v>
      </c>
      <c r="AB4" s="18" t="s">
        <v>29</v>
      </c>
      <c r="AC4" s="14" t="s">
        <v>46</v>
      </c>
      <c r="AD4" s="14" t="s">
        <v>45</v>
      </c>
      <c r="AE4" s="14" t="s">
        <v>30</v>
      </c>
      <c r="AF4" s="14" t="s">
        <v>31</v>
      </c>
      <c r="AG4" s="6" t="s">
        <v>130</v>
      </c>
      <c r="AH4" s="43" t="s">
        <v>131</v>
      </c>
      <c r="AI4" s="6" t="s">
        <v>42</v>
      </c>
      <c r="AJ4" s="6" t="s">
        <v>41</v>
      </c>
      <c r="AK4" s="6" t="s">
        <v>40</v>
      </c>
      <c r="AL4" s="20" t="s">
        <v>39</v>
      </c>
      <c r="AM4" s="39" t="s">
        <v>38</v>
      </c>
      <c r="AN4" s="20" t="s">
        <v>44</v>
      </c>
      <c r="AO4" s="20" t="s">
        <v>32</v>
      </c>
      <c r="AP4" s="20" t="s">
        <v>37</v>
      </c>
      <c r="AQ4" s="20" t="s">
        <v>36</v>
      </c>
      <c r="AR4" s="20" t="s">
        <v>43</v>
      </c>
      <c r="AS4" s="20" t="s">
        <v>35</v>
      </c>
      <c r="AT4" s="20" t="s">
        <v>34</v>
      </c>
      <c r="AU4" s="20" t="s">
        <v>278</v>
      </c>
      <c r="AV4" s="41" t="s">
        <v>114</v>
      </c>
      <c r="AW4" s="41" t="s">
        <v>115</v>
      </c>
      <c r="AX4" s="47" t="s">
        <v>161</v>
      </c>
      <c r="AY4" s="12" t="s">
        <v>162</v>
      </c>
      <c r="AZ4" s="12" t="s">
        <v>163</v>
      </c>
      <c r="BA4" s="12" t="s">
        <v>164</v>
      </c>
      <c r="BB4" s="12" t="s">
        <v>165</v>
      </c>
      <c r="BC4" s="12" t="s">
        <v>166</v>
      </c>
      <c r="BD4" s="17" t="s">
        <v>167</v>
      </c>
      <c r="BE4" s="17" t="s">
        <v>168</v>
      </c>
      <c r="BF4" s="17" t="s">
        <v>169</v>
      </c>
      <c r="BG4" s="18" t="s">
        <v>170</v>
      </c>
      <c r="BH4" s="14" t="s">
        <v>171</v>
      </c>
      <c r="BI4" s="14" t="s">
        <v>172</v>
      </c>
      <c r="BJ4" s="14" t="s">
        <v>173</v>
      </c>
      <c r="BK4" s="14" t="s">
        <v>174</v>
      </c>
      <c r="BL4" s="6" t="s">
        <v>175</v>
      </c>
      <c r="BM4" s="43" t="s">
        <v>176</v>
      </c>
      <c r="BN4" s="6" t="s">
        <v>177</v>
      </c>
      <c r="BO4" s="6" t="s">
        <v>178</v>
      </c>
      <c r="BP4" s="6" t="s">
        <v>179</v>
      </c>
      <c r="BQ4" s="20" t="s">
        <v>180</v>
      </c>
      <c r="BR4" s="39" t="s">
        <v>181</v>
      </c>
      <c r="BS4" s="20" t="s">
        <v>182</v>
      </c>
      <c r="BT4" s="20" t="s">
        <v>183</v>
      </c>
      <c r="BU4" s="20" t="s">
        <v>184</v>
      </c>
      <c r="BV4" s="20" t="s">
        <v>185</v>
      </c>
      <c r="BW4" s="20" t="s">
        <v>186</v>
      </c>
      <c r="BX4" s="20" t="s">
        <v>187</v>
      </c>
      <c r="BY4" s="20" t="s">
        <v>188</v>
      </c>
      <c r="BZ4" s="20" t="s">
        <v>279</v>
      </c>
      <c r="CA4" s="84" t="s">
        <v>189</v>
      </c>
      <c r="CB4" s="85" t="s">
        <v>190</v>
      </c>
      <c r="CC4" s="86" t="s">
        <v>283</v>
      </c>
      <c r="CD4" s="86" t="s">
        <v>261</v>
      </c>
      <c r="CE4" s="86" t="s">
        <v>262</v>
      </c>
    </row>
    <row r="5" spans="1:83" s="2" customFormat="1" ht="14.15" customHeight="1" thickBot="1" x14ac:dyDescent="0.45">
      <c r="A5" s="21">
        <v>100</v>
      </c>
      <c r="B5" s="21" t="s">
        <v>94</v>
      </c>
      <c r="C5" s="21">
        <v>112.282453</v>
      </c>
      <c r="D5" s="21">
        <v>620213.9</v>
      </c>
      <c r="E5" s="21">
        <v>6082124.7000000002</v>
      </c>
      <c r="F5" s="21">
        <v>828.2</v>
      </c>
      <c r="G5" s="21">
        <v>14</v>
      </c>
      <c r="H5" s="21">
        <v>0</v>
      </c>
      <c r="I5" s="21">
        <v>57.7</v>
      </c>
      <c r="J5" s="21">
        <v>0</v>
      </c>
      <c r="K5" s="21">
        <v>100</v>
      </c>
      <c r="L5" s="21">
        <v>3.5</v>
      </c>
      <c r="M5" s="21">
        <v>100</v>
      </c>
      <c r="N5" s="21">
        <v>0</v>
      </c>
      <c r="O5" s="35">
        <v>5</v>
      </c>
      <c r="P5" s="21">
        <v>90</v>
      </c>
      <c r="Q5" s="4">
        <v>781.16</v>
      </c>
      <c r="R5" s="4">
        <v>30.899999619999999</v>
      </c>
      <c r="S5" s="4">
        <f>($I5*$L5)*($M5/100)</f>
        <v>201.95000000000002</v>
      </c>
      <c r="T5" s="5">
        <f t="shared" ref="T5" si="0">(-1.5+6.51)/(1+EXP(0.94-5.3*SIN(RADIANS($G5))))</f>
        <v>2.9294544238463396</v>
      </c>
      <c r="U5" s="8">
        <f t="shared" ref="U5" si="1">2.67*$P5+84.69*T5</f>
        <v>488.39549515554648</v>
      </c>
      <c r="V5" s="8">
        <f t="shared" ref="V5" si="2">U5*$Q5</f>
        <v>381515.02499570668</v>
      </c>
      <c r="W5" s="3">
        <f t="shared" ref="W5" si="3">V5*(100*100)</f>
        <v>3815150249.957067</v>
      </c>
      <c r="X5" s="5">
        <f t="shared" ref="X5" si="4">W5/(1000*1000*1000)</f>
        <v>3.8151502499570671</v>
      </c>
      <c r="Y5" s="3">
        <f>0.5</f>
        <v>0.5</v>
      </c>
      <c r="Z5" s="3">
        <f t="shared" ref="Z5" si="5">11.74</f>
        <v>11.74</v>
      </c>
      <c r="AA5" s="3">
        <f t="shared" ref="AA5" si="6">336/1000</f>
        <v>0.33600000000000002</v>
      </c>
      <c r="AB5" s="5">
        <f>(($S5)*($R5-Z5)*Y5/1000)</f>
        <v>1.9346809616295002</v>
      </c>
      <c r="AC5" s="8">
        <f>IF(AB5-($C5*AA5/5)&gt;0,AB5-($C5*AA5/5),0)</f>
        <v>0</v>
      </c>
      <c r="AD5" s="8">
        <f>IF((AF5-$C5)/AF5*AB5&gt;0,(AF5-$C5)/AF5*AB5,0)</f>
        <v>0</v>
      </c>
      <c r="AE5" s="8">
        <f>5*AB5/AA5</f>
        <v>28.789895262343752</v>
      </c>
      <c r="AF5" s="8">
        <f>AE5*3</f>
        <v>86.369685787031258</v>
      </c>
      <c r="AG5" s="3">
        <f>IFERROR(IF(AJ5&lt;AK5,0,1),"")</f>
        <v>0</v>
      </c>
      <c r="AH5" s="44">
        <f>$N5</f>
        <v>0</v>
      </c>
      <c r="AI5" s="9">
        <f>$O5</f>
        <v>5</v>
      </c>
      <c r="AJ5" s="3">
        <f>S5</f>
        <v>201.95000000000002</v>
      </c>
      <c r="AK5" s="3">
        <f>IFERROR(70/SIN(RADIANS(AI5)),"")</f>
        <v>803.15992719688995</v>
      </c>
      <c r="AL5" s="3">
        <f>IF(AH5=1,AD5,AC5)</f>
        <v>0</v>
      </c>
      <c r="AM5" s="3">
        <f>AJ5/(100*100)</f>
        <v>2.0195000000000001E-2</v>
      </c>
      <c r="AN5" s="9">
        <f>AM5*X5</f>
        <v>7.704695929788298E-2</v>
      </c>
      <c r="AO5" s="3">
        <f t="shared" ref="AO5" si="7">AN5*1000*1000</f>
        <v>77046.959297882975</v>
      </c>
      <c r="AP5" s="8">
        <f>AO5/(AB5*1000)</f>
        <v>39.824116133850602</v>
      </c>
      <c r="AQ5" s="10">
        <f>$C5/AF5*100</f>
        <v>130.00215524329215</v>
      </c>
      <c r="AR5" s="10">
        <f>($C5/AE5)*100</f>
        <v>390.00646572987642</v>
      </c>
      <c r="AS5" s="8">
        <f>AP5*EXP(-0.0156*AQ5)</f>
        <v>5.2406159545508908</v>
      </c>
      <c r="AT5" s="8">
        <f t="shared" ref="AT5" si="8">AP5*EXP(-0.0156*AR5)</f>
        <v>9.0751688169847161E-2</v>
      </c>
      <c r="AU5" s="8">
        <f>IF(AH5=1,AS5*AD5,AT5*AC5)</f>
        <v>0</v>
      </c>
      <c r="AV5" s="38">
        <f>IF(($C5-AE5)&gt;0,($C5-AE5),0)</f>
        <v>83.492557737656256</v>
      </c>
      <c r="AW5" s="38">
        <f>IF(($C5-AF5)&gt;0,($C5-AF5),0)</f>
        <v>25.912767212968745</v>
      </c>
      <c r="AX5" s="78">
        <f>($K5*$L5)*($M5/100)</f>
        <v>350</v>
      </c>
      <c r="AY5" s="5">
        <f t="shared" ref="AY5" si="9">(-1.5+6.51)/(1+EXP(0.94-5.3*SIN(RADIANS($G5))))</f>
        <v>2.9294544238463396</v>
      </c>
      <c r="AZ5" s="8">
        <f t="shared" ref="AZ5" si="10">2.67*$P5+84.69*AY5</f>
        <v>488.39549515554648</v>
      </c>
      <c r="BA5" s="8">
        <f t="shared" ref="BA5" si="11">AZ5*$Q5</f>
        <v>381515.02499570668</v>
      </c>
      <c r="BB5" s="3">
        <f t="shared" ref="BB5" si="12">BA5*(100*100)</f>
        <v>3815150249.957067</v>
      </c>
      <c r="BC5" s="5">
        <f t="shared" ref="BC5" si="13">BB5/(1000*1000*1000)</f>
        <v>3.8151502499570671</v>
      </c>
      <c r="BD5" s="3">
        <f>0.5</f>
        <v>0.5</v>
      </c>
      <c r="BE5" s="3">
        <f t="shared" ref="BE5" si="14">11.74</f>
        <v>11.74</v>
      </c>
      <c r="BF5" s="3">
        <f t="shared" ref="BF5" si="15">336/1000</f>
        <v>0.33600000000000002</v>
      </c>
      <c r="BG5" s="5">
        <f>(($AX5)*($R5-BE5)*BD5/1000)</f>
        <v>3.3529999335</v>
      </c>
      <c r="BH5" s="8">
        <f>IF(BG5-($C5*BF5/5)&gt;0,BG5-($C5*BF5/5),0)</f>
        <v>0</v>
      </c>
      <c r="BI5" s="8">
        <f>IF((BK5-$C5)/BK5*BG5&gt;0,(BK5-$C5)/BK5*BG5,0)</f>
        <v>0.83787298629999973</v>
      </c>
      <c r="BJ5" s="8">
        <f>5*BG5/BF5</f>
        <v>49.895832343749994</v>
      </c>
      <c r="BK5" s="8">
        <f>BJ5*3</f>
        <v>149.68749703124999</v>
      </c>
      <c r="BL5" s="3">
        <f>IFERROR(IF(BO5&lt;BP5,0,1),"")</f>
        <v>0</v>
      </c>
      <c r="BM5" s="44">
        <f>$N5</f>
        <v>0</v>
      </c>
      <c r="BN5" s="9">
        <f>$O5</f>
        <v>5</v>
      </c>
      <c r="BO5" s="3">
        <f>AX5</f>
        <v>350</v>
      </c>
      <c r="BP5" s="3">
        <f>IFERROR(70/SIN(RADIANS(BN5)),"")</f>
        <v>803.15992719688995</v>
      </c>
      <c r="BQ5" s="3">
        <f>IF(BM5=1,BI5,BH5)</f>
        <v>0</v>
      </c>
      <c r="BR5" s="3">
        <f>BO5/(100*100)</f>
        <v>3.5000000000000003E-2</v>
      </c>
      <c r="BS5" s="9">
        <f>BR5*BC5</f>
        <v>0.13353025874849736</v>
      </c>
      <c r="BT5" s="3">
        <f t="shared" ref="BT5" si="16">BS5*1000*1000</f>
        <v>133530.25874849738</v>
      </c>
      <c r="BU5" s="8">
        <f>BT5/(BG5*1000)</f>
        <v>39.824116133850609</v>
      </c>
      <c r="BV5" s="10">
        <f>$C5/BK5*100</f>
        <v>75.011243575379581</v>
      </c>
      <c r="BW5" s="10">
        <f>($C5/BJ5)*100</f>
        <v>225.03373072613874</v>
      </c>
      <c r="BX5" s="8">
        <f>BU5*EXP(-0.0156*BV5)</f>
        <v>12.357921346322323</v>
      </c>
      <c r="BY5" s="8">
        <f>BU5*EXP(-0.0156*BW5)</f>
        <v>1.1899918548910766</v>
      </c>
      <c r="BZ5" s="8">
        <f>IF(BM5=1,BX5*BI5,BY5*BH5)</f>
        <v>0</v>
      </c>
      <c r="CA5" s="38">
        <f>IF(($C5-BJ5)&gt;0,($C5-BJ5),0)</f>
        <v>62.38662065625001</v>
      </c>
      <c r="CB5" s="38">
        <f>IF(($C5-BK5)&gt;0,($C5-BK5),0)</f>
        <v>0</v>
      </c>
      <c r="CC5" s="79">
        <f>Table4[[#This Row],[sed_del_kg_with_BP]]-Table4[[#This Row],[sed_del_kg_no_drain_BP]]</f>
        <v>0</v>
      </c>
      <c r="CD5" s="79">
        <f>Table4[[#This Row],[Disp_offset_m]]-Table4[[#This Row],[Disp_offset_m31]]</f>
        <v>21.105937081406246</v>
      </c>
      <c r="CE5" s="79">
        <f>Table4[[#This Row],[Gull_offset_m]]-Table4[[#This Row],[Gull_offset_m32]]</f>
        <v>25.912767212968745</v>
      </c>
    </row>
    <row r="6" spans="1:83" s="2" customFormat="1" x14ac:dyDescent="0.4">
      <c r="A6" s="21">
        <v>91</v>
      </c>
      <c r="B6" s="21" t="s">
        <v>94</v>
      </c>
      <c r="C6" s="21">
        <v>61.332389999999997</v>
      </c>
      <c r="D6" s="21">
        <v>619988.69999999995</v>
      </c>
      <c r="E6" s="21">
        <v>6082088.5</v>
      </c>
      <c r="F6" s="21">
        <v>828.3</v>
      </c>
      <c r="G6" s="21">
        <v>2</v>
      </c>
      <c r="H6" s="21">
        <v>0</v>
      </c>
      <c r="I6" s="21">
        <v>19.29</v>
      </c>
      <c r="J6" s="21">
        <v>0</v>
      </c>
      <c r="K6" s="21">
        <v>100</v>
      </c>
      <c r="L6" s="21">
        <v>3.1</v>
      </c>
      <c r="M6" s="21">
        <v>100</v>
      </c>
      <c r="N6" s="21">
        <v>1</v>
      </c>
      <c r="O6" s="35">
        <v>13</v>
      </c>
      <c r="P6" s="21">
        <v>90</v>
      </c>
      <c r="Q6" s="4">
        <v>781.16</v>
      </c>
      <c r="R6" s="4">
        <v>30.899999619999999</v>
      </c>
      <c r="S6" s="4">
        <f t="shared" ref="S6:S52" si="17">($I6*$L6)*($M6/100)</f>
        <v>59.798999999999999</v>
      </c>
      <c r="T6" s="5">
        <f t="shared" ref="T6:T52" si="18">(-1.5+6.51)/(1+EXP(0.94-5.3*SIN(RADIANS($G6))))</f>
        <v>1.6018257472049382</v>
      </c>
      <c r="U6" s="8">
        <f t="shared" ref="U6:U52" si="19">2.67*$P6+84.69*T6</f>
        <v>375.95862253078622</v>
      </c>
      <c r="V6" s="8">
        <f t="shared" ref="V6:V52" si="20">U6*$Q6</f>
        <v>293683.83757614897</v>
      </c>
      <c r="W6" s="3">
        <f t="shared" ref="W6:W52" si="21">V6*(100*100)</f>
        <v>2936838375.7614899</v>
      </c>
      <c r="X6" s="5">
        <f t="shared" ref="X6:X52" si="22">W6/(1000*1000*1000)</f>
        <v>2.9368383757614898</v>
      </c>
      <c r="Y6" s="3">
        <f t="shared" ref="Y6:Y52" si="23">0.5</f>
        <v>0.5</v>
      </c>
      <c r="Z6" s="3">
        <f t="shared" ref="Z6:Z52" si="24">11.74</f>
        <v>11.74</v>
      </c>
      <c r="AA6" s="3">
        <f t="shared" ref="AA6:AA52" si="25">336/1000</f>
        <v>0.33600000000000002</v>
      </c>
      <c r="AB6" s="5">
        <f t="shared" ref="AB6:AB52" si="26">(($S6)*($R6-Z6)*Y6/1000)</f>
        <v>0.57287440863819006</v>
      </c>
      <c r="AC6" s="8">
        <f t="shared" ref="AC6:AC52" si="27">IF(AB6-($C6*AA6/5)&gt;0,AB6-($C6*AA6/5),0)</f>
        <v>0</v>
      </c>
      <c r="AD6" s="8">
        <f t="shared" ref="AD6:AD52" si="28">IF((AF6-$C6)/AF6*AB6&gt;0,(AF6-$C6)/AF6*AB6,0)</f>
        <v>0</v>
      </c>
      <c r="AE6" s="8">
        <f t="shared" ref="AE6:AE52" si="29">5*AB6/AA6</f>
        <v>8.5249167952111602</v>
      </c>
      <c r="AF6" s="8">
        <f t="shared" ref="AF6:AF52" si="30">AE6*3</f>
        <v>25.574750385633479</v>
      </c>
      <c r="AG6" s="3">
        <f t="shared" ref="AG6:AG52" si="31">IFERROR(IF(AJ6&lt;AK6,0,1),"")</f>
        <v>0</v>
      </c>
      <c r="AH6" s="44">
        <f t="shared" ref="AH6:AH52" si="32">$N6</f>
        <v>1</v>
      </c>
      <c r="AI6" s="9">
        <f t="shared" ref="AI6:AI52" si="33">$O6</f>
        <v>13</v>
      </c>
      <c r="AJ6" s="3">
        <f t="shared" ref="AJ6:AJ52" si="34">S6</f>
        <v>59.798999999999999</v>
      </c>
      <c r="AK6" s="3">
        <f t="shared" ref="AK6:AK52" si="35">IFERROR(70/SIN(RADIANS(AI6)),"")</f>
        <v>311.17880378100608</v>
      </c>
      <c r="AL6" s="3">
        <f t="shared" ref="AL6:AL52" si="36">IF(AH6=1,AD6,AC6)</f>
        <v>0</v>
      </c>
      <c r="AM6" s="3">
        <f t="shared" ref="AM6:AM52" si="37">AJ6/(100*100)</f>
        <v>5.9798999999999998E-3</v>
      </c>
      <c r="AN6" s="9">
        <f t="shared" ref="AN6:AN52" si="38">AM6*X6</f>
        <v>1.7561999803216131E-2</v>
      </c>
      <c r="AO6" s="3">
        <f t="shared" ref="AO6:AO52" si="39">AN6*1000*1000</f>
        <v>17561.999803216131</v>
      </c>
      <c r="AP6" s="8">
        <f t="shared" ref="AP6:AP52" si="40">AO6/(AB6*1000)</f>
        <v>30.655933549141576</v>
      </c>
      <c r="AQ6" s="10">
        <f t="shared" ref="AQ6:AQ52" si="41">$C6/AF6*100</f>
        <v>239.81618227035847</v>
      </c>
      <c r="AR6" s="10">
        <f t="shared" ref="AR6:AR52" si="42">($C6/AE6)*100</f>
        <v>719.44854681107552</v>
      </c>
      <c r="AS6" s="8">
        <f t="shared" ref="AS6:AS52" si="43">AP6*EXP(-0.0156*AQ6)</f>
        <v>0.72738002381029199</v>
      </c>
      <c r="AT6" s="8">
        <f t="shared" ref="AT6:AT52" si="44">AP6*EXP(-0.0156*AR6)</f>
        <v>4.0950104773767839E-4</v>
      </c>
      <c r="AU6" s="8">
        <f t="shared" ref="AU6:AU52" si="45">IF(AH6=1,AS6*AD6,AT6*AC6)</f>
        <v>0</v>
      </c>
      <c r="AV6" s="38">
        <f t="shared" ref="AV6:AV52" si="46">IF(($C6-AE6)&gt;0,($C6-AE6),0)</f>
        <v>52.807473204788835</v>
      </c>
      <c r="AW6" s="38">
        <f t="shared" ref="AW6:AW52" si="47">IF(($C6-AF6)&gt;0,($C6-AF6),0)</f>
        <v>35.757639614366518</v>
      </c>
      <c r="AX6" s="4">
        <f t="shared" ref="AX6:AX52" si="48">($K6*$L6)*($M6/100)</f>
        <v>310</v>
      </c>
      <c r="AY6" s="5">
        <f t="shared" ref="AY6:AY52" si="49">(-1.5+6.51)/(1+EXP(0.94-5.3*SIN(RADIANS($G6))))</f>
        <v>1.6018257472049382</v>
      </c>
      <c r="AZ6" s="8">
        <f t="shared" ref="AZ6:AZ52" si="50">2.67*$P6+84.69*AY6</f>
        <v>375.95862253078622</v>
      </c>
      <c r="BA6" s="8">
        <f t="shared" ref="BA6:BA52" si="51">AZ6*$Q6</f>
        <v>293683.83757614897</v>
      </c>
      <c r="BB6" s="3">
        <f t="shared" ref="BB6:BB52" si="52">BA6*(100*100)</f>
        <v>2936838375.7614899</v>
      </c>
      <c r="BC6" s="5">
        <f t="shared" ref="BC6:BC52" si="53">BB6/(1000*1000*1000)</f>
        <v>2.9368383757614898</v>
      </c>
      <c r="BD6" s="3">
        <f t="shared" ref="BD6:BD52" si="54">0.5</f>
        <v>0.5</v>
      </c>
      <c r="BE6" s="3">
        <f t="shared" ref="BE6:BE52" si="55">11.74</f>
        <v>11.74</v>
      </c>
      <c r="BF6" s="3">
        <f t="shared" ref="BF6:BF52" si="56">336/1000</f>
        <v>0.33600000000000002</v>
      </c>
      <c r="BG6" s="5">
        <f t="shared" ref="BG6:BG52" si="57">(($AX6)*($R6-BE6)*BD6/1000)</f>
        <v>2.9697999411000002</v>
      </c>
      <c r="BH6" s="8">
        <f t="shared" ref="BH6:BH52" si="58">IF(BG6-($C6*BF6/5)&gt;0,BG6-($C6*BF6/5),0)</f>
        <v>0</v>
      </c>
      <c r="BI6" s="8">
        <f t="shared" ref="BI6:BI52" si="59">IF((BK6-$C6)/BK6*BG6&gt;0,(BK6-$C6)/BK6*BG6,0)</f>
        <v>1.5959544050999999</v>
      </c>
      <c r="BJ6" s="8">
        <f t="shared" ref="BJ6:BJ52" si="60">5*BG6/BF6</f>
        <v>44.193451504464285</v>
      </c>
      <c r="BK6" s="8">
        <f t="shared" ref="BK6:BK52" si="61">BJ6*3</f>
        <v>132.58035451339285</v>
      </c>
      <c r="BL6" s="2">
        <f t="shared" ref="BL6:BL52" si="62">IFERROR(IF(BO6&lt;BP6,0,1),"")</f>
        <v>0</v>
      </c>
      <c r="BM6" s="44">
        <f t="shared" ref="BM6:BM52" si="63">$N6</f>
        <v>1</v>
      </c>
      <c r="BN6" s="96">
        <f t="shared" ref="BN6:BN52" si="64">$O6</f>
        <v>13</v>
      </c>
      <c r="BO6" s="2">
        <f t="shared" ref="BO6:BO52" si="65">AX6</f>
        <v>310</v>
      </c>
      <c r="BP6" s="2">
        <f t="shared" ref="BP6:BP52" si="66">IFERROR(70/SIN(RADIANS(BN6)),"")</f>
        <v>311.17880378100608</v>
      </c>
      <c r="BQ6" s="2">
        <f t="shared" ref="BQ6:BQ52" si="67">IF(BM6=1,BI6,BH6)</f>
        <v>1.5959544050999999</v>
      </c>
      <c r="BR6" s="2">
        <f t="shared" ref="BR6:BR52" si="68">BO6/(100*100)</f>
        <v>3.1E-2</v>
      </c>
      <c r="BS6" s="96">
        <f t="shared" ref="BS6:BS52" si="69">BR6*BC6</f>
        <v>9.1041989648606186E-2</v>
      </c>
      <c r="BT6" s="2">
        <f t="shared" ref="BT6:BT52" si="70">BS6*1000*1000</f>
        <v>91041.989648606192</v>
      </c>
      <c r="BU6" s="79">
        <f t="shared" ref="BU6:BU52" si="71">BT6/(BG6*1000)</f>
        <v>30.655933549141583</v>
      </c>
      <c r="BV6" s="97">
        <f t="shared" ref="BV6:BV52" si="72">$C6/BK6*100</f>
        <v>46.260541559952152</v>
      </c>
      <c r="BW6" s="97">
        <f t="shared" ref="BW6:BW52" si="73">($C6/BJ6)*100</f>
        <v>138.78162467985644</v>
      </c>
      <c r="BX6" s="79">
        <f t="shared" ref="BX6:BX52" si="74">BU6*EXP(-0.0156*BV6)</f>
        <v>14.897028832033495</v>
      </c>
      <c r="BY6" s="79">
        <f t="shared" ref="BY6:BY52" si="75">BU6*EXP(-0.0156*BW6)</f>
        <v>3.5177897805753466</v>
      </c>
      <c r="BZ6" s="79">
        <f t="shared" ref="BZ6:BZ52" si="76">IF(BM6=1,BX6*BI6,BY6*BH6)</f>
        <v>23.774978787385564</v>
      </c>
      <c r="CA6" s="79">
        <f t="shared" ref="CA6:CA52" si="77">IF(($C6-BJ6)&gt;0,($C6-BJ6),0)</f>
        <v>17.138938495535712</v>
      </c>
      <c r="CB6" s="79">
        <f t="shared" ref="CB6:CB52" si="78">IF(($C6-BK6)&gt;0,($C6-BK6),0)</f>
        <v>0</v>
      </c>
      <c r="CC6" s="79">
        <f>Table4[[#This Row],[sed_del_kg_with_BP]]-Table4[[#This Row],[sed_del_kg_no_drain_BP]]</f>
        <v>23.774978787385564</v>
      </c>
      <c r="CD6" s="79">
        <f>Table4[[#This Row],[Disp_offset_m]]-Table4[[#This Row],[Disp_offset_m31]]</f>
        <v>35.668534709253123</v>
      </c>
      <c r="CE6" s="79">
        <f>Table4[[#This Row],[Gull_offset_m]]-Table4[[#This Row],[Gull_offset_m32]]</f>
        <v>35.757639614366518</v>
      </c>
    </row>
    <row r="7" spans="1:83" s="2" customFormat="1" x14ac:dyDescent="0.4">
      <c r="A7" s="21">
        <v>98</v>
      </c>
      <c r="B7" s="21" t="s">
        <v>94</v>
      </c>
      <c r="C7" s="21">
        <v>103.495987</v>
      </c>
      <c r="D7" s="21">
        <v>620124.19999999995</v>
      </c>
      <c r="E7" s="21">
        <v>6082077.4000000004</v>
      </c>
      <c r="F7" s="21">
        <v>830.6</v>
      </c>
      <c r="G7" s="21">
        <v>8</v>
      </c>
      <c r="H7" s="21">
        <v>0</v>
      </c>
      <c r="I7" s="21">
        <v>48.57</v>
      </c>
      <c r="J7" s="21">
        <v>0</v>
      </c>
      <c r="K7" s="21">
        <v>100</v>
      </c>
      <c r="L7" s="21">
        <v>3.8</v>
      </c>
      <c r="M7" s="21">
        <v>100</v>
      </c>
      <c r="N7" s="21">
        <v>0</v>
      </c>
      <c r="O7" s="35">
        <v>7</v>
      </c>
      <c r="P7" s="21">
        <v>90</v>
      </c>
      <c r="Q7" s="4">
        <v>781.16</v>
      </c>
      <c r="R7" s="4">
        <v>30.899999619999999</v>
      </c>
      <c r="S7" s="4">
        <f t="shared" si="17"/>
        <v>184.566</v>
      </c>
      <c r="T7" s="5">
        <f t="shared" si="18"/>
        <v>2.2523775068692409</v>
      </c>
      <c r="U7" s="8">
        <f t="shared" si="19"/>
        <v>431.053851056756</v>
      </c>
      <c r="V7" s="8">
        <f t="shared" si="20"/>
        <v>336722.02629149548</v>
      </c>
      <c r="W7" s="3">
        <f t="shared" si="21"/>
        <v>3367220262.9149547</v>
      </c>
      <c r="X7" s="5">
        <f t="shared" si="22"/>
        <v>3.3672202629149548</v>
      </c>
      <c r="Y7" s="3">
        <f t="shared" si="23"/>
        <v>0.5</v>
      </c>
      <c r="Z7" s="3">
        <f t="shared" si="24"/>
        <v>11.74</v>
      </c>
      <c r="AA7" s="3">
        <f t="shared" si="25"/>
        <v>0.33600000000000002</v>
      </c>
      <c r="AB7" s="5">
        <f t="shared" si="26"/>
        <v>1.76814224493246</v>
      </c>
      <c r="AC7" s="8">
        <f t="shared" si="27"/>
        <v>0</v>
      </c>
      <c r="AD7" s="8">
        <f t="shared" si="28"/>
        <v>0</v>
      </c>
      <c r="AE7" s="8">
        <f t="shared" si="29"/>
        <v>26.311640549590177</v>
      </c>
      <c r="AF7" s="8">
        <f t="shared" si="30"/>
        <v>78.934921648770526</v>
      </c>
      <c r="AG7" s="3">
        <f t="shared" si="31"/>
        <v>0</v>
      </c>
      <c r="AH7" s="3">
        <f t="shared" si="32"/>
        <v>0</v>
      </c>
      <c r="AI7" s="9">
        <f t="shared" si="33"/>
        <v>7</v>
      </c>
      <c r="AJ7" s="3">
        <f t="shared" si="34"/>
        <v>184.566</v>
      </c>
      <c r="AK7" s="3">
        <f t="shared" si="35"/>
        <v>574.38563336875552</v>
      </c>
      <c r="AL7" s="3">
        <f t="shared" si="36"/>
        <v>0</v>
      </c>
      <c r="AM7" s="3">
        <f t="shared" si="37"/>
        <v>1.84566E-2</v>
      </c>
      <c r="AN7" s="9">
        <f t="shared" si="38"/>
        <v>6.2147437504516158E-2</v>
      </c>
      <c r="AO7" s="3">
        <f t="shared" si="39"/>
        <v>62147.437504516158</v>
      </c>
      <c r="AP7" s="8">
        <f t="shared" si="40"/>
        <v>35.148437679509257</v>
      </c>
      <c r="AQ7" s="10">
        <f t="shared" si="41"/>
        <v>131.11558843437712</v>
      </c>
      <c r="AR7" s="10">
        <f t="shared" si="42"/>
        <v>393.34676530313129</v>
      </c>
      <c r="AS7" s="8">
        <f t="shared" si="43"/>
        <v>4.5456784501629954</v>
      </c>
      <c r="AT7" s="8">
        <f t="shared" si="44"/>
        <v>7.602984117666442E-2</v>
      </c>
      <c r="AU7" s="8">
        <f t="shared" si="45"/>
        <v>0</v>
      </c>
      <c r="AV7" s="38">
        <f t="shared" si="46"/>
        <v>77.184346450409819</v>
      </c>
      <c r="AW7" s="38">
        <f t="shared" si="47"/>
        <v>24.561065351229473</v>
      </c>
      <c r="AX7" s="4">
        <f t="shared" si="48"/>
        <v>380</v>
      </c>
      <c r="AY7" s="5">
        <f t="shared" si="49"/>
        <v>2.2523775068692409</v>
      </c>
      <c r="AZ7" s="8">
        <f t="shared" si="50"/>
        <v>431.053851056756</v>
      </c>
      <c r="BA7" s="8">
        <f t="shared" si="51"/>
        <v>336722.02629149548</v>
      </c>
      <c r="BB7" s="3">
        <f t="shared" si="52"/>
        <v>3367220262.9149547</v>
      </c>
      <c r="BC7" s="5">
        <f t="shared" si="53"/>
        <v>3.3672202629149548</v>
      </c>
      <c r="BD7" s="3">
        <f t="shared" si="54"/>
        <v>0.5</v>
      </c>
      <c r="BE7" s="3">
        <f t="shared" si="55"/>
        <v>11.74</v>
      </c>
      <c r="BF7" s="3">
        <f t="shared" si="56"/>
        <v>0.33600000000000002</v>
      </c>
      <c r="BG7" s="5">
        <f t="shared" si="57"/>
        <v>3.6403999278000003</v>
      </c>
      <c r="BH7" s="8">
        <f t="shared" si="58"/>
        <v>0</v>
      </c>
      <c r="BI7" s="8">
        <f t="shared" si="59"/>
        <v>1.3220898189999999</v>
      </c>
      <c r="BJ7" s="8">
        <f t="shared" si="60"/>
        <v>54.172617973214287</v>
      </c>
      <c r="BK7" s="8">
        <f t="shared" si="61"/>
        <v>162.51785391964285</v>
      </c>
      <c r="BL7" s="2">
        <f t="shared" si="62"/>
        <v>0</v>
      </c>
      <c r="BM7" s="3">
        <f t="shared" si="63"/>
        <v>0</v>
      </c>
      <c r="BN7" s="96">
        <f t="shared" si="64"/>
        <v>7</v>
      </c>
      <c r="BO7" s="2">
        <f t="shared" si="65"/>
        <v>380</v>
      </c>
      <c r="BP7" s="2">
        <f t="shared" si="66"/>
        <v>574.38563336875552</v>
      </c>
      <c r="BQ7" s="2">
        <f t="shared" si="67"/>
        <v>0</v>
      </c>
      <c r="BR7" s="2">
        <f t="shared" si="68"/>
        <v>3.7999999999999999E-2</v>
      </c>
      <c r="BS7" s="96">
        <f t="shared" si="69"/>
        <v>0.12795436999076829</v>
      </c>
      <c r="BT7" s="2">
        <f t="shared" si="70"/>
        <v>127954.36999076829</v>
      </c>
      <c r="BU7" s="79">
        <f t="shared" si="71"/>
        <v>35.14843767950925</v>
      </c>
      <c r="BV7" s="97">
        <f t="shared" si="72"/>
        <v>63.682841302576954</v>
      </c>
      <c r="BW7" s="97">
        <f t="shared" si="73"/>
        <v>191.04852390773087</v>
      </c>
      <c r="BX7" s="79">
        <f t="shared" si="74"/>
        <v>13.015329378182765</v>
      </c>
      <c r="BY7" s="79">
        <f t="shared" si="75"/>
        <v>1.78465156958928</v>
      </c>
      <c r="BZ7" s="79">
        <f t="shared" si="76"/>
        <v>0</v>
      </c>
      <c r="CA7" s="79">
        <f t="shared" si="77"/>
        <v>49.323369026785713</v>
      </c>
      <c r="CB7" s="79">
        <f t="shared" si="78"/>
        <v>0</v>
      </c>
      <c r="CC7" s="79">
        <f>Table4[[#This Row],[sed_del_kg_with_BP]]-Table4[[#This Row],[sed_del_kg_no_drain_BP]]</f>
        <v>0</v>
      </c>
      <c r="CD7" s="79">
        <f>Table4[[#This Row],[Disp_offset_m]]-Table4[[#This Row],[Disp_offset_m31]]</f>
        <v>27.860977423624107</v>
      </c>
      <c r="CE7" s="79">
        <f>Table4[[#This Row],[Gull_offset_m]]-Table4[[#This Row],[Gull_offset_m32]]</f>
        <v>24.561065351229473</v>
      </c>
    </row>
    <row r="8" spans="1:83" s="2" customFormat="1" x14ac:dyDescent="0.4">
      <c r="A8" s="21">
        <v>56</v>
      </c>
      <c r="B8" s="21" t="s">
        <v>94</v>
      </c>
      <c r="C8" s="21">
        <v>29.886575000000001</v>
      </c>
      <c r="D8" s="21">
        <v>619330</v>
      </c>
      <c r="E8" s="21">
        <v>6081096.7999999998</v>
      </c>
      <c r="F8" s="21">
        <v>720.4</v>
      </c>
      <c r="G8" s="21">
        <v>11</v>
      </c>
      <c r="H8" s="21">
        <v>0</v>
      </c>
      <c r="I8" s="21">
        <v>31.4</v>
      </c>
      <c r="J8" s="21">
        <v>0</v>
      </c>
      <c r="K8" s="21">
        <v>100</v>
      </c>
      <c r="L8" s="21">
        <v>3.2</v>
      </c>
      <c r="M8" s="21">
        <v>100</v>
      </c>
      <c r="N8" s="21">
        <v>1</v>
      </c>
      <c r="O8" s="35">
        <v>11</v>
      </c>
      <c r="P8" s="21">
        <v>90</v>
      </c>
      <c r="Q8" s="4">
        <v>781.16</v>
      </c>
      <c r="R8" s="4">
        <v>30.899999619999999</v>
      </c>
      <c r="S8" s="4">
        <f t="shared" si="17"/>
        <v>100.48</v>
      </c>
      <c r="T8" s="5">
        <f t="shared" si="18"/>
        <v>2.5942500198766076</v>
      </c>
      <c r="U8" s="8">
        <f t="shared" si="19"/>
        <v>460.0070341833499</v>
      </c>
      <c r="V8" s="8">
        <f t="shared" si="20"/>
        <v>359339.09482266562</v>
      </c>
      <c r="W8" s="3">
        <f t="shared" si="21"/>
        <v>3593390948.226656</v>
      </c>
      <c r="X8" s="5">
        <f t="shared" si="22"/>
        <v>3.5933909482266562</v>
      </c>
      <c r="Y8" s="3">
        <f t="shared" si="23"/>
        <v>0.5</v>
      </c>
      <c r="Z8" s="3">
        <f t="shared" si="24"/>
        <v>11.74</v>
      </c>
      <c r="AA8" s="3">
        <f t="shared" si="25"/>
        <v>0.33600000000000002</v>
      </c>
      <c r="AB8" s="5">
        <f t="shared" si="26"/>
        <v>0.96259838090880012</v>
      </c>
      <c r="AC8" s="8">
        <f t="shared" si="27"/>
        <v>0</v>
      </c>
      <c r="AD8" s="8">
        <f t="shared" si="28"/>
        <v>0.29313910090880019</v>
      </c>
      <c r="AE8" s="8">
        <f t="shared" si="29"/>
        <v>14.324380668285716</v>
      </c>
      <c r="AF8" s="8">
        <f t="shared" si="30"/>
        <v>42.973142004857152</v>
      </c>
      <c r="AG8" s="3">
        <f t="shared" si="31"/>
        <v>0</v>
      </c>
      <c r="AH8" s="3">
        <f t="shared" si="32"/>
        <v>1</v>
      </c>
      <c r="AI8" s="9">
        <f t="shared" si="33"/>
        <v>11</v>
      </c>
      <c r="AJ8" s="3">
        <f t="shared" si="34"/>
        <v>100.48</v>
      </c>
      <c r="AK8" s="3">
        <f t="shared" si="35"/>
        <v>366.85901449174941</v>
      </c>
      <c r="AL8" s="3">
        <f t="shared" si="36"/>
        <v>0.29313910090880019</v>
      </c>
      <c r="AM8" s="3">
        <f t="shared" si="37"/>
        <v>1.0048E-2</v>
      </c>
      <c r="AN8" s="9">
        <f t="shared" si="38"/>
        <v>3.6106392247781442E-2</v>
      </c>
      <c r="AO8" s="3">
        <f t="shared" si="39"/>
        <v>36106.392247781441</v>
      </c>
      <c r="AP8" s="8">
        <f t="shared" si="40"/>
        <v>37.509300829794647</v>
      </c>
      <c r="AQ8" s="10">
        <f t="shared" si="41"/>
        <v>69.547102226367329</v>
      </c>
      <c r="AR8" s="10">
        <f t="shared" si="42"/>
        <v>208.641306679102</v>
      </c>
      <c r="AS8" s="8">
        <f t="shared" si="43"/>
        <v>12.675286206546872</v>
      </c>
      <c r="AT8" s="8">
        <f t="shared" si="44"/>
        <v>1.4474227195933804</v>
      </c>
      <c r="AU8" s="8">
        <f t="shared" si="45"/>
        <v>3.7156220023488666</v>
      </c>
      <c r="AV8" s="38">
        <f t="shared" si="46"/>
        <v>15.562194331714284</v>
      </c>
      <c r="AW8" s="38">
        <f t="shared" si="47"/>
        <v>0</v>
      </c>
      <c r="AX8" s="4">
        <f t="shared" si="48"/>
        <v>320</v>
      </c>
      <c r="AY8" s="5">
        <f t="shared" si="49"/>
        <v>2.5942500198766076</v>
      </c>
      <c r="AZ8" s="8">
        <f t="shared" si="50"/>
        <v>460.0070341833499</v>
      </c>
      <c r="BA8" s="8">
        <f t="shared" si="51"/>
        <v>359339.09482266562</v>
      </c>
      <c r="BB8" s="3">
        <f t="shared" si="52"/>
        <v>3593390948.226656</v>
      </c>
      <c r="BC8" s="5">
        <f t="shared" si="53"/>
        <v>3.5933909482266562</v>
      </c>
      <c r="BD8" s="3">
        <f t="shared" si="54"/>
        <v>0.5</v>
      </c>
      <c r="BE8" s="3">
        <f t="shared" si="55"/>
        <v>11.74</v>
      </c>
      <c r="BF8" s="3">
        <f t="shared" si="56"/>
        <v>0.33600000000000002</v>
      </c>
      <c r="BG8" s="5">
        <f t="shared" si="57"/>
        <v>3.0655999392000002</v>
      </c>
      <c r="BH8" s="8">
        <f t="shared" si="58"/>
        <v>1.0572220992000001</v>
      </c>
      <c r="BI8" s="8">
        <f t="shared" si="59"/>
        <v>2.3961406592000003</v>
      </c>
      <c r="BJ8" s="8">
        <f t="shared" si="60"/>
        <v>45.619046714285716</v>
      </c>
      <c r="BK8" s="8">
        <f t="shared" si="61"/>
        <v>136.85714014285713</v>
      </c>
      <c r="BL8" s="2">
        <f t="shared" si="62"/>
        <v>0</v>
      </c>
      <c r="BM8" s="3">
        <f t="shared" si="63"/>
        <v>1</v>
      </c>
      <c r="BN8" s="96">
        <f t="shared" si="64"/>
        <v>11</v>
      </c>
      <c r="BO8" s="2">
        <f t="shared" si="65"/>
        <v>320</v>
      </c>
      <c r="BP8" s="2">
        <f t="shared" si="66"/>
        <v>366.85901449174941</v>
      </c>
      <c r="BQ8" s="2">
        <f t="shared" si="67"/>
        <v>2.3961406592000003</v>
      </c>
      <c r="BR8" s="2">
        <f t="shared" si="68"/>
        <v>3.2000000000000001E-2</v>
      </c>
      <c r="BS8" s="96">
        <f t="shared" si="69"/>
        <v>0.114988510343253</v>
      </c>
      <c r="BT8" s="2">
        <f t="shared" si="70"/>
        <v>114988.510343253</v>
      </c>
      <c r="BU8" s="79">
        <f t="shared" si="71"/>
        <v>37.509300829794647</v>
      </c>
      <c r="BV8" s="97">
        <f t="shared" si="72"/>
        <v>21.837790099079346</v>
      </c>
      <c r="BW8" s="97">
        <f t="shared" si="73"/>
        <v>65.513370297238026</v>
      </c>
      <c r="BX8" s="79">
        <f t="shared" si="74"/>
        <v>26.680138142961312</v>
      </c>
      <c r="BY8" s="79">
        <f t="shared" si="75"/>
        <v>13.498524021343599</v>
      </c>
      <c r="BZ8" s="79">
        <f t="shared" si="76"/>
        <v>63.92936379742239</v>
      </c>
      <c r="CA8" s="79">
        <f t="shared" si="77"/>
        <v>0</v>
      </c>
      <c r="CB8" s="79">
        <f t="shared" si="78"/>
        <v>0</v>
      </c>
      <c r="CC8" s="79">
        <f>Table4[[#This Row],[sed_del_kg_with_BP]]-Table4[[#This Row],[sed_del_kg_no_drain_BP]]</f>
        <v>60.213741795073524</v>
      </c>
      <c r="CD8" s="79">
        <f>Table4[[#This Row],[Disp_offset_m]]-Table4[[#This Row],[Disp_offset_m31]]</f>
        <v>15.562194331714284</v>
      </c>
      <c r="CE8" s="79">
        <f>Table4[[#This Row],[Gull_offset_m]]-Table4[[#This Row],[Gull_offset_m32]]</f>
        <v>0</v>
      </c>
    </row>
    <row r="9" spans="1:83" s="2" customFormat="1" x14ac:dyDescent="0.4">
      <c r="A9" s="21">
        <v>59</v>
      </c>
      <c r="B9" s="21" t="s">
        <v>94</v>
      </c>
      <c r="C9" s="21">
        <v>117.807294</v>
      </c>
      <c r="D9" s="21">
        <v>619441.4</v>
      </c>
      <c r="E9" s="21">
        <v>6081181.7999999998</v>
      </c>
      <c r="F9" s="21">
        <v>730.2</v>
      </c>
      <c r="G9" s="21">
        <v>12</v>
      </c>
      <c r="H9" s="21">
        <v>0</v>
      </c>
      <c r="I9" s="21">
        <v>77.89</v>
      </c>
      <c r="J9" s="21">
        <v>0</v>
      </c>
      <c r="K9" s="21">
        <v>100</v>
      </c>
      <c r="L9" s="21">
        <v>2.8</v>
      </c>
      <c r="M9" s="21">
        <v>100</v>
      </c>
      <c r="N9" s="21">
        <v>0</v>
      </c>
      <c r="O9" s="35">
        <v>12</v>
      </c>
      <c r="P9" s="21">
        <v>90</v>
      </c>
      <c r="Q9" s="4">
        <v>781.16</v>
      </c>
      <c r="R9" s="4">
        <v>30.899999619999999</v>
      </c>
      <c r="S9" s="4">
        <f t="shared" si="17"/>
        <v>218.09199999999998</v>
      </c>
      <c r="T9" s="5">
        <f t="shared" si="18"/>
        <v>2.7073777462862987</v>
      </c>
      <c r="U9" s="8">
        <f t="shared" si="19"/>
        <v>469.58782133298661</v>
      </c>
      <c r="V9" s="8">
        <f t="shared" si="20"/>
        <v>366823.2225124758</v>
      </c>
      <c r="W9" s="3">
        <f t="shared" si="21"/>
        <v>3668232225.1247578</v>
      </c>
      <c r="X9" s="5">
        <f t="shared" si="22"/>
        <v>3.6682322251247577</v>
      </c>
      <c r="Y9" s="3">
        <f t="shared" si="23"/>
        <v>0.5</v>
      </c>
      <c r="Z9" s="3">
        <f t="shared" si="24"/>
        <v>11.74</v>
      </c>
      <c r="AA9" s="3">
        <f t="shared" si="25"/>
        <v>0.33600000000000002</v>
      </c>
      <c r="AB9" s="5">
        <f t="shared" si="26"/>
        <v>2.0893213185625199</v>
      </c>
      <c r="AC9" s="8">
        <f t="shared" si="27"/>
        <v>0</v>
      </c>
      <c r="AD9" s="8">
        <f t="shared" si="28"/>
        <v>0</v>
      </c>
      <c r="AE9" s="8">
        <f t="shared" si="29"/>
        <v>31.091091050037498</v>
      </c>
      <c r="AF9" s="8">
        <f t="shared" si="30"/>
        <v>93.273273150112487</v>
      </c>
      <c r="AG9" s="3">
        <f t="shared" si="31"/>
        <v>0</v>
      </c>
      <c r="AH9" s="3">
        <f t="shared" si="32"/>
        <v>0</v>
      </c>
      <c r="AI9" s="9">
        <f t="shared" si="33"/>
        <v>12</v>
      </c>
      <c r="AJ9" s="3">
        <f t="shared" si="34"/>
        <v>218.09199999999998</v>
      </c>
      <c r="AK9" s="3">
        <f t="shared" si="35"/>
        <v>336.68140413208914</v>
      </c>
      <c r="AL9" s="3">
        <f t="shared" si="36"/>
        <v>0</v>
      </c>
      <c r="AM9" s="3">
        <f t="shared" si="37"/>
        <v>2.1809199999999997E-2</v>
      </c>
      <c r="AN9" s="9">
        <f t="shared" si="38"/>
        <v>8.0001210244190851E-2</v>
      </c>
      <c r="AO9" s="3">
        <f t="shared" si="39"/>
        <v>80001.210244190865</v>
      </c>
      <c r="AP9" s="8">
        <f t="shared" si="40"/>
        <v>38.290525030028761</v>
      </c>
      <c r="AQ9" s="10">
        <f t="shared" si="41"/>
        <v>126.30337718544824</v>
      </c>
      <c r="AR9" s="10">
        <f t="shared" si="42"/>
        <v>378.91013155634471</v>
      </c>
      <c r="AS9" s="8">
        <f t="shared" si="43"/>
        <v>5.3381000470992941</v>
      </c>
      <c r="AT9" s="8">
        <f t="shared" si="44"/>
        <v>0.10374746281683987</v>
      </c>
      <c r="AU9" s="8">
        <f t="shared" si="45"/>
        <v>0</v>
      </c>
      <c r="AV9" s="38">
        <f t="shared" si="46"/>
        <v>86.716202949962508</v>
      </c>
      <c r="AW9" s="38">
        <f t="shared" si="47"/>
        <v>24.534020849887511</v>
      </c>
      <c r="AX9" s="4">
        <f t="shared" si="48"/>
        <v>280</v>
      </c>
      <c r="AY9" s="5">
        <f t="shared" si="49"/>
        <v>2.7073777462862987</v>
      </c>
      <c r="AZ9" s="8">
        <f t="shared" si="50"/>
        <v>469.58782133298661</v>
      </c>
      <c r="BA9" s="8">
        <f t="shared" si="51"/>
        <v>366823.2225124758</v>
      </c>
      <c r="BB9" s="3">
        <f t="shared" si="52"/>
        <v>3668232225.1247578</v>
      </c>
      <c r="BC9" s="5">
        <f t="shared" si="53"/>
        <v>3.6682322251247577</v>
      </c>
      <c r="BD9" s="3">
        <f t="shared" si="54"/>
        <v>0.5</v>
      </c>
      <c r="BE9" s="3">
        <f t="shared" si="55"/>
        <v>11.74</v>
      </c>
      <c r="BF9" s="3">
        <f t="shared" si="56"/>
        <v>0.33600000000000002</v>
      </c>
      <c r="BG9" s="5">
        <f t="shared" si="57"/>
        <v>2.6823999468000004</v>
      </c>
      <c r="BH9" s="8">
        <f t="shared" si="58"/>
        <v>0</v>
      </c>
      <c r="BI9" s="8">
        <f t="shared" si="59"/>
        <v>4.3516561199999852E-2</v>
      </c>
      <c r="BJ9" s="8">
        <f t="shared" si="60"/>
        <v>39.916665875</v>
      </c>
      <c r="BK9" s="8">
        <f t="shared" si="61"/>
        <v>119.74999762499999</v>
      </c>
      <c r="BL9" s="2">
        <f t="shared" si="62"/>
        <v>0</v>
      </c>
      <c r="BM9" s="3">
        <f t="shared" si="63"/>
        <v>0</v>
      </c>
      <c r="BN9" s="96">
        <f t="shared" si="64"/>
        <v>12</v>
      </c>
      <c r="BO9" s="2">
        <f t="shared" si="65"/>
        <v>280</v>
      </c>
      <c r="BP9" s="2">
        <f t="shared" si="66"/>
        <v>336.68140413208914</v>
      </c>
      <c r="BQ9" s="2">
        <f t="shared" si="67"/>
        <v>0</v>
      </c>
      <c r="BR9" s="2">
        <f t="shared" si="68"/>
        <v>2.8000000000000001E-2</v>
      </c>
      <c r="BS9" s="96">
        <f t="shared" si="69"/>
        <v>0.10271050230349321</v>
      </c>
      <c r="BT9" s="2">
        <f t="shared" si="70"/>
        <v>102710.50230349321</v>
      </c>
      <c r="BU9" s="79">
        <f t="shared" si="71"/>
        <v>38.290525030028753</v>
      </c>
      <c r="BV9" s="97">
        <f t="shared" si="72"/>
        <v>98.377700489745635</v>
      </c>
      <c r="BW9" s="97">
        <f t="shared" si="73"/>
        <v>295.13310146923686</v>
      </c>
      <c r="BX9" s="79">
        <f t="shared" si="74"/>
        <v>8.2524518463568164</v>
      </c>
      <c r="BY9" s="79">
        <f t="shared" si="75"/>
        <v>0.38332430237626153</v>
      </c>
      <c r="BZ9" s="79">
        <f t="shared" si="76"/>
        <v>0</v>
      </c>
      <c r="CA9" s="79">
        <f t="shared" si="77"/>
        <v>77.890628125000006</v>
      </c>
      <c r="CB9" s="79">
        <f t="shared" si="78"/>
        <v>0</v>
      </c>
      <c r="CC9" s="79">
        <f>Table4[[#This Row],[sed_del_kg_with_BP]]-Table4[[#This Row],[sed_del_kg_no_drain_BP]]</f>
        <v>0</v>
      </c>
      <c r="CD9" s="79">
        <f>Table4[[#This Row],[Disp_offset_m]]-Table4[[#This Row],[Disp_offset_m31]]</f>
        <v>8.8255748249625015</v>
      </c>
      <c r="CE9" s="79">
        <f>Table4[[#This Row],[Gull_offset_m]]-Table4[[#This Row],[Gull_offset_m32]]</f>
        <v>24.534020849887511</v>
      </c>
    </row>
    <row r="10" spans="1:83" s="2" customFormat="1" x14ac:dyDescent="0.4">
      <c r="A10" s="21">
        <v>68</v>
      </c>
      <c r="B10" s="21" t="s">
        <v>94</v>
      </c>
      <c r="C10" s="21">
        <v>2.5927039999999999</v>
      </c>
      <c r="D10" s="21">
        <v>619688.80000000005</v>
      </c>
      <c r="E10" s="21">
        <v>6081429.2999999998</v>
      </c>
      <c r="F10" s="21">
        <v>748.3</v>
      </c>
      <c r="G10" s="21">
        <v>11</v>
      </c>
      <c r="H10" s="21">
        <v>0</v>
      </c>
      <c r="I10" s="21">
        <v>77.97</v>
      </c>
      <c r="J10" s="21">
        <v>0</v>
      </c>
      <c r="K10" s="21">
        <v>100</v>
      </c>
      <c r="L10" s="21">
        <v>2.7</v>
      </c>
      <c r="M10" s="21">
        <v>100</v>
      </c>
      <c r="N10" s="21">
        <v>1</v>
      </c>
      <c r="O10" s="35">
        <v>8</v>
      </c>
      <c r="P10" s="21">
        <v>90</v>
      </c>
      <c r="Q10" s="4">
        <v>781.16</v>
      </c>
      <c r="R10" s="4">
        <v>30.899999619999999</v>
      </c>
      <c r="S10" s="4">
        <f t="shared" si="17"/>
        <v>210.51900000000001</v>
      </c>
      <c r="T10" s="5">
        <f t="shared" si="18"/>
        <v>2.5942500198766076</v>
      </c>
      <c r="U10" s="8">
        <f t="shared" si="19"/>
        <v>460.0070341833499</v>
      </c>
      <c r="V10" s="8">
        <f t="shared" si="20"/>
        <v>359339.09482266562</v>
      </c>
      <c r="W10" s="3">
        <f t="shared" si="21"/>
        <v>3593390948.226656</v>
      </c>
      <c r="X10" s="5">
        <f t="shared" si="22"/>
        <v>3.5933909482266562</v>
      </c>
      <c r="Y10" s="3">
        <f t="shared" si="23"/>
        <v>0.5</v>
      </c>
      <c r="Z10" s="3">
        <f t="shared" si="24"/>
        <v>11.74</v>
      </c>
      <c r="AA10" s="3">
        <f t="shared" si="25"/>
        <v>0.33600000000000002</v>
      </c>
      <c r="AB10" s="5">
        <f t="shared" si="26"/>
        <v>2.0167719800013901</v>
      </c>
      <c r="AC10" s="8">
        <f t="shared" si="27"/>
        <v>1.8425422712013901</v>
      </c>
      <c r="AD10" s="8">
        <f t="shared" si="28"/>
        <v>1.9586954104013903</v>
      </c>
      <c r="AE10" s="8">
        <f t="shared" si="29"/>
        <v>30.011487797639735</v>
      </c>
      <c r="AF10" s="8">
        <f t="shared" si="30"/>
        <v>90.034463392919207</v>
      </c>
      <c r="AG10" s="3">
        <f t="shared" si="31"/>
        <v>0</v>
      </c>
      <c r="AH10" s="3">
        <f t="shared" si="32"/>
        <v>1</v>
      </c>
      <c r="AI10" s="9">
        <f t="shared" si="33"/>
        <v>8</v>
      </c>
      <c r="AJ10" s="3">
        <f t="shared" si="34"/>
        <v>210.51900000000001</v>
      </c>
      <c r="AK10" s="3">
        <f t="shared" si="35"/>
        <v>502.97075740294036</v>
      </c>
      <c r="AL10" s="3">
        <f t="shared" si="36"/>
        <v>1.9586954104013903</v>
      </c>
      <c r="AM10" s="3">
        <f t="shared" si="37"/>
        <v>2.1051900000000002E-2</v>
      </c>
      <c r="AN10" s="9">
        <f t="shared" si="38"/>
        <v>7.5647706902972747E-2</v>
      </c>
      <c r="AO10" s="3">
        <f t="shared" si="39"/>
        <v>75647.706902972743</v>
      </c>
      <c r="AP10" s="8">
        <f t="shared" si="40"/>
        <v>37.509300829794647</v>
      </c>
      <c r="AQ10" s="10">
        <f t="shared" si="41"/>
        <v>2.8796795163705102</v>
      </c>
      <c r="AR10" s="10">
        <f t="shared" si="42"/>
        <v>8.6390385491115307</v>
      </c>
      <c r="AS10" s="8">
        <f t="shared" si="43"/>
        <v>35.861558355959055</v>
      </c>
      <c r="AT10" s="8">
        <f t="shared" si="44"/>
        <v>32.780044242212313</v>
      </c>
      <c r="AU10" s="8">
        <f t="shared" si="45"/>
        <v>70.241869761658634</v>
      </c>
      <c r="AV10" s="38">
        <f t="shared" si="46"/>
        <v>0</v>
      </c>
      <c r="AW10" s="38">
        <f t="shared" si="47"/>
        <v>0</v>
      </c>
      <c r="AX10" s="4">
        <f t="shared" si="48"/>
        <v>270</v>
      </c>
      <c r="AY10" s="5">
        <f t="shared" si="49"/>
        <v>2.5942500198766076</v>
      </c>
      <c r="AZ10" s="8">
        <f t="shared" si="50"/>
        <v>460.0070341833499</v>
      </c>
      <c r="BA10" s="8">
        <f t="shared" si="51"/>
        <v>359339.09482266562</v>
      </c>
      <c r="BB10" s="3">
        <f t="shared" si="52"/>
        <v>3593390948.226656</v>
      </c>
      <c r="BC10" s="5">
        <f t="shared" si="53"/>
        <v>3.5933909482266562</v>
      </c>
      <c r="BD10" s="3">
        <f t="shared" si="54"/>
        <v>0.5</v>
      </c>
      <c r="BE10" s="3">
        <f t="shared" si="55"/>
        <v>11.74</v>
      </c>
      <c r="BF10" s="3">
        <f t="shared" si="56"/>
        <v>0.33600000000000002</v>
      </c>
      <c r="BG10" s="5">
        <f t="shared" si="57"/>
        <v>2.5865999487</v>
      </c>
      <c r="BH10" s="8">
        <f t="shared" si="58"/>
        <v>2.4123702399</v>
      </c>
      <c r="BI10" s="8">
        <f t="shared" si="59"/>
        <v>2.5285233791000001</v>
      </c>
      <c r="BJ10" s="8">
        <f t="shared" si="60"/>
        <v>38.491070665178569</v>
      </c>
      <c r="BK10" s="8">
        <f t="shared" si="61"/>
        <v>115.47321199553571</v>
      </c>
      <c r="BL10" s="2">
        <f t="shared" si="62"/>
        <v>0</v>
      </c>
      <c r="BM10" s="3">
        <f t="shared" si="63"/>
        <v>1</v>
      </c>
      <c r="BN10" s="96">
        <f t="shared" si="64"/>
        <v>8</v>
      </c>
      <c r="BO10" s="2">
        <f t="shared" si="65"/>
        <v>270</v>
      </c>
      <c r="BP10" s="2">
        <f t="shared" si="66"/>
        <v>502.97075740294036</v>
      </c>
      <c r="BQ10" s="2">
        <f t="shared" si="67"/>
        <v>2.5285233791000001</v>
      </c>
      <c r="BR10" s="2">
        <f t="shared" si="68"/>
        <v>2.7E-2</v>
      </c>
      <c r="BS10" s="96">
        <f t="shared" si="69"/>
        <v>9.7021555602119711E-2</v>
      </c>
      <c r="BT10" s="2">
        <f t="shared" si="70"/>
        <v>97021.555602119712</v>
      </c>
      <c r="BU10" s="79">
        <f t="shared" si="71"/>
        <v>37.509300829794654</v>
      </c>
      <c r="BV10" s="97">
        <f t="shared" si="72"/>
        <v>2.2452861189140876</v>
      </c>
      <c r="BW10" s="97">
        <f t="shared" si="73"/>
        <v>6.7358583567422619</v>
      </c>
      <c r="BX10" s="79">
        <f t="shared" si="74"/>
        <v>36.218225569217267</v>
      </c>
      <c r="BY10" s="79">
        <f t="shared" si="75"/>
        <v>33.767862412781845</v>
      </c>
      <c r="BZ10" s="79">
        <f t="shared" si="76"/>
        <v>91.578630101283267</v>
      </c>
      <c r="CA10" s="79">
        <f t="shared" si="77"/>
        <v>0</v>
      </c>
      <c r="CB10" s="79">
        <f t="shared" si="78"/>
        <v>0</v>
      </c>
      <c r="CC10" s="79">
        <f>Table4[[#This Row],[sed_del_kg_with_BP]]-Table4[[#This Row],[sed_del_kg_no_drain_BP]]</f>
        <v>21.336760339624632</v>
      </c>
      <c r="CD10" s="79">
        <f>Table4[[#This Row],[Disp_offset_m]]-Table4[[#This Row],[Disp_offset_m31]]</f>
        <v>0</v>
      </c>
      <c r="CE10" s="79">
        <f>Table4[[#This Row],[Gull_offset_m]]-Table4[[#This Row],[Gull_offset_m32]]</f>
        <v>0</v>
      </c>
    </row>
    <row r="11" spans="1:83" s="2" customFormat="1" x14ac:dyDescent="0.4">
      <c r="A11" s="21">
        <v>120</v>
      </c>
      <c r="B11" s="21" t="s">
        <v>94</v>
      </c>
      <c r="C11" s="21">
        <v>34.616855000000001</v>
      </c>
      <c r="D11" s="21">
        <v>620463.1</v>
      </c>
      <c r="E11" s="21">
        <v>6082664.5</v>
      </c>
      <c r="F11" s="21">
        <v>748.3</v>
      </c>
      <c r="G11" s="21">
        <v>10</v>
      </c>
      <c r="H11" s="21">
        <v>0</v>
      </c>
      <c r="I11" s="21">
        <v>22</v>
      </c>
      <c r="J11" s="21">
        <v>0</v>
      </c>
      <c r="K11" s="21">
        <v>100</v>
      </c>
      <c r="L11" s="21">
        <v>3.5</v>
      </c>
      <c r="M11" s="21">
        <v>100</v>
      </c>
      <c r="N11" s="21">
        <v>0</v>
      </c>
      <c r="O11" s="35">
        <v>12</v>
      </c>
      <c r="P11" s="21">
        <v>90</v>
      </c>
      <c r="Q11" s="4">
        <v>781.16</v>
      </c>
      <c r="R11" s="4">
        <v>30.899999619999999</v>
      </c>
      <c r="S11" s="4">
        <f t="shared" si="17"/>
        <v>77</v>
      </c>
      <c r="T11" s="5">
        <f t="shared" si="18"/>
        <v>2.4803708090655769</v>
      </c>
      <c r="U11" s="8">
        <f t="shared" si="19"/>
        <v>450.36260381976365</v>
      </c>
      <c r="V11" s="8">
        <f t="shared" si="20"/>
        <v>351805.25159984658</v>
      </c>
      <c r="W11" s="3">
        <f t="shared" si="21"/>
        <v>3518052515.998466</v>
      </c>
      <c r="X11" s="5">
        <f t="shared" si="22"/>
        <v>3.5180525159984661</v>
      </c>
      <c r="Y11" s="3">
        <f t="shared" si="23"/>
        <v>0.5</v>
      </c>
      <c r="Z11" s="3">
        <f t="shared" si="24"/>
        <v>11.74</v>
      </c>
      <c r="AA11" s="3">
        <f t="shared" si="25"/>
        <v>0.33600000000000002</v>
      </c>
      <c r="AB11" s="5">
        <f t="shared" si="26"/>
        <v>0.7376599853700001</v>
      </c>
      <c r="AC11" s="8">
        <f t="shared" si="27"/>
        <v>0</v>
      </c>
      <c r="AD11" s="8">
        <f t="shared" si="28"/>
        <v>0</v>
      </c>
      <c r="AE11" s="8">
        <f t="shared" si="29"/>
        <v>10.977083115625001</v>
      </c>
      <c r="AF11" s="8">
        <f t="shared" si="30"/>
        <v>32.931249346875006</v>
      </c>
      <c r="AG11" s="3">
        <f t="shared" si="31"/>
        <v>0</v>
      </c>
      <c r="AH11" s="3">
        <f t="shared" si="32"/>
        <v>0</v>
      </c>
      <c r="AI11" s="9">
        <f t="shared" si="33"/>
        <v>12</v>
      </c>
      <c r="AJ11" s="3">
        <f t="shared" si="34"/>
        <v>77</v>
      </c>
      <c r="AK11" s="3">
        <f t="shared" si="35"/>
        <v>336.68140413208914</v>
      </c>
      <c r="AL11" s="3">
        <f t="shared" si="36"/>
        <v>0</v>
      </c>
      <c r="AM11" s="3">
        <f t="shared" si="37"/>
        <v>7.7000000000000002E-3</v>
      </c>
      <c r="AN11" s="9">
        <f t="shared" si="38"/>
        <v>2.7089004373188189E-2</v>
      </c>
      <c r="AO11" s="3">
        <f t="shared" si="39"/>
        <v>27089.004373188189</v>
      </c>
      <c r="AP11" s="8">
        <f t="shared" si="40"/>
        <v>36.722887116617443</v>
      </c>
      <c r="AQ11" s="10">
        <f t="shared" si="41"/>
        <v>105.11855968587767</v>
      </c>
      <c r="AR11" s="10">
        <f t="shared" si="42"/>
        <v>315.35567905763304</v>
      </c>
      <c r="AS11" s="8">
        <f t="shared" si="43"/>
        <v>7.1245791428645262</v>
      </c>
      <c r="AT11" s="8">
        <f t="shared" si="44"/>
        <v>0.26816618283019428</v>
      </c>
      <c r="AU11" s="8">
        <f t="shared" si="45"/>
        <v>0</v>
      </c>
      <c r="AV11" s="38">
        <f t="shared" si="46"/>
        <v>23.639771884375001</v>
      </c>
      <c r="AW11" s="38">
        <f t="shared" si="47"/>
        <v>1.6856056531249948</v>
      </c>
      <c r="AX11" s="4">
        <f t="shared" si="48"/>
        <v>350</v>
      </c>
      <c r="AY11" s="5">
        <f t="shared" si="49"/>
        <v>2.4803708090655769</v>
      </c>
      <c r="AZ11" s="8">
        <f t="shared" si="50"/>
        <v>450.36260381976365</v>
      </c>
      <c r="BA11" s="8">
        <f t="shared" si="51"/>
        <v>351805.25159984658</v>
      </c>
      <c r="BB11" s="3">
        <f t="shared" si="52"/>
        <v>3518052515.998466</v>
      </c>
      <c r="BC11" s="5">
        <f t="shared" si="53"/>
        <v>3.5180525159984661</v>
      </c>
      <c r="BD11" s="3">
        <f t="shared" si="54"/>
        <v>0.5</v>
      </c>
      <c r="BE11" s="3">
        <f t="shared" si="55"/>
        <v>11.74</v>
      </c>
      <c r="BF11" s="3">
        <f t="shared" si="56"/>
        <v>0.33600000000000002</v>
      </c>
      <c r="BG11" s="5">
        <f t="shared" si="57"/>
        <v>3.3529999335</v>
      </c>
      <c r="BH11" s="8">
        <f t="shared" si="58"/>
        <v>1.0267472774999997</v>
      </c>
      <c r="BI11" s="8">
        <f t="shared" si="59"/>
        <v>2.5775823815000001</v>
      </c>
      <c r="BJ11" s="8">
        <f t="shared" si="60"/>
        <v>49.895832343749994</v>
      </c>
      <c r="BK11" s="8">
        <f t="shared" si="61"/>
        <v>149.68749703124999</v>
      </c>
      <c r="BL11" s="2">
        <f t="shared" si="62"/>
        <v>1</v>
      </c>
      <c r="BM11" s="3">
        <f t="shared" si="63"/>
        <v>0</v>
      </c>
      <c r="BN11" s="96">
        <f t="shared" si="64"/>
        <v>12</v>
      </c>
      <c r="BO11" s="2">
        <f t="shared" si="65"/>
        <v>350</v>
      </c>
      <c r="BP11" s="2">
        <f t="shared" si="66"/>
        <v>336.68140413208914</v>
      </c>
      <c r="BQ11" s="2">
        <f t="shared" si="67"/>
        <v>1.0267472774999997</v>
      </c>
      <c r="BR11" s="2">
        <f t="shared" si="68"/>
        <v>3.5000000000000003E-2</v>
      </c>
      <c r="BS11" s="96">
        <f t="shared" si="69"/>
        <v>0.12313183805994633</v>
      </c>
      <c r="BT11" s="2">
        <f t="shared" si="70"/>
        <v>123131.83805994633</v>
      </c>
      <c r="BU11" s="79">
        <f t="shared" si="71"/>
        <v>36.72288711661745</v>
      </c>
      <c r="BV11" s="97">
        <f t="shared" si="72"/>
        <v>23.12608313089309</v>
      </c>
      <c r="BW11" s="97">
        <f t="shared" si="73"/>
        <v>69.37824939267928</v>
      </c>
      <c r="BX11" s="79">
        <f t="shared" si="74"/>
        <v>25.601048073018632</v>
      </c>
      <c r="BY11" s="79">
        <f t="shared" si="75"/>
        <v>12.442269387433848</v>
      </c>
      <c r="BZ11" s="79">
        <f t="shared" si="76"/>
        <v>12.775066219469293</v>
      </c>
      <c r="CA11" s="79">
        <f t="shared" si="77"/>
        <v>0</v>
      </c>
      <c r="CB11" s="79">
        <f t="shared" si="78"/>
        <v>0</v>
      </c>
      <c r="CC11" s="79">
        <f>Table4[[#This Row],[sed_del_kg_with_BP]]-Table4[[#This Row],[sed_del_kg_no_drain_BP]]</f>
        <v>12.775066219469293</v>
      </c>
      <c r="CD11" s="79">
        <f>Table4[[#This Row],[Disp_offset_m]]-Table4[[#This Row],[Disp_offset_m31]]</f>
        <v>23.639771884375001</v>
      </c>
      <c r="CE11" s="79">
        <f>Table4[[#This Row],[Gull_offset_m]]-Table4[[#This Row],[Gull_offset_m32]]</f>
        <v>1.6856056531249948</v>
      </c>
    </row>
    <row r="12" spans="1:83" s="2" customFormat="1" x14ac:dyDescent="0.4">
      <c r="A12" s="21">
        <v>122</v>
      </c>
      <c r="B12" s="21" t="s">
        <v>94</v>
      </c>
      <c r="C12" s="21">
        <v>48.858932000000003</v>
      </c>
      <c r="D12" s="21">
        <v>620502.19999999995</v>
      </c>
      <c r="E12" s="21">
        <v>6082737.7000000002</v>
      </c>
      <c r="F12" s="21">
        <v>748.7</v>
      </c>
      <c r="G12" s="21">
        <v>11</v>
      </c>
      <c r="H12" s="21">
        <v>0</v>
      </c>
      <c r="I12" s="21">
        <v>33.700000000000003</v>
      </c>
      <c r="J12" s="21">
        <v>0</v>
      </c>
      <c r="K12" s="21">
        <v>100</v>
      </c>
      <c r="L12" s="21">
        <v>3.2</v>
      </c>
      <c r="M12" s="21">
        <v>100</v>
      </c>
      <c r="N12" s="21">
        <v>0</v>
      </c>
      <c r="O12" s="35">
        <v>6</v>
      </c>
      <c r="P12" s="21">
        <v>90</v>
      </c>
      <c r="Q12" s="4">
        <v>781.16</v>
      </c>
      <c r="R12" s="4">
        <v>30.899999619999999</v>
      </c>
      <c r="S12" s="4">
        <f t="shared" si="17"/>
        <v>107.84000000000002</v>
      </c>
      <c r="T12" s="5">
        <f t="shared" si="18"/>
        <v>2.5942500198766076</v>
      </c>
      <c r="U12" s="8">
        <f t="shared" si="19"/>
        <v>460.0070341833499</v>
      </c>
      <c r="V12" s="8">
        <f t="shared" si="20"/>
        <v>359339.09482266562</v>
      </c>
      <c r="W12" s="3">
        <f t="shared" si="21"/>
        <v>3593390948.226656</v>
      </c>
      <c r="X12" s="5">
        <f t="shared" si="22"/>
        <v>3.5933909482266562</v>
      </c>
      <c r="Y12" s="3">
        <f t="shared" si="23"/>
        <v>0.5</v>
      </c>
      <c r="Z12" s="3">
        <f t="shared" si="24"/>
        <v>11.74</v>
      </c>
      <c r="AA12" s="3">
        <f t="shared" si="25"/>
        <v>0.33600000000000002</v>
      </c>
      <c r="AB12" s="5">
        <f t="shared" si="26"/>
        <v>1.0331071795104001</v>
      </c>
      <c r="AC12" s="8">
        <f t="shared" si="27"/>
        <v>0</v>
      </c>
      <c r="AD12" s="8">
        <f t="shared" si="28"/>
        <v>0</v>
      </c>
      <c r="AE12" s="8">
        <f t="shared" si="29"/>
        <v>15.373618742714287</v>
      </c>
      <c r="AF12" s="8">
        <f t="shared" si="30"/>
        <v>46.120856228142863</v>
      </c>
      <c r="AG12" s="3">
        <f t="shared" si="31"/>
        <v>0</v>
      </c>
      <c r="AH12" s="3">
        <f t="shared" si="32"/>
        <v>0</v>
      </c>
      <c r="AI12" s="9">
        <f t="shared" si="33"/>
        <v>6</v>
      </c>
      <c r="AJ12" s="3">
        <f t="shared" si="34"/>
        <v>107.84000000000002</v>
      </c>
      <c r="AK12" s="3">
        <f t="shared" si="35"/>
        <v>669.67405634539386</v>
      </c>
      <c r="AL12" s="3">
        <f t="shared" si="36"/>
        <v>0</v>
      </c>
      <c r="AM12" s="3">
        <f t="shared" si="37"/>
        <v>1.0784000000000002E-2</v>
      </c>
      <c r="AN12" s="9">
        <f t="shared" si="38"/>
        <v>3.8751127985676266E-2</v>
      </c>
      <c r="AO12" s="3">
        <f t="shared" si="39"/>
        <v>38751.127985676263</v>
      </c>
      <c r="AP12" s="8">
        <f t="shared" si="40"/>
        <v>37.509300829794654</v>
      </c>
      <c r="AQ12" s="10">
        <f t="shared" si="41"/>
        <v>105.93674097964029</v>
      </c>
      <c r="AR12" s="10">
        <f t="shared" si="42"/>
        <v>317.8102229389209</v>
      </c>
      <c r="AS12" s="8">
        <f t="shared" si="43"/>
        <v>7.184858065595634</v>
      </c>
      <c r="AT12" s="8">
        <f t="shared" si="44"/>
        <v>0.26361895954728853</v>
      </c>
      <c r="AU12" s="8">
        <f t="shared" si="45"/>
        <v>0</v>
      </c>
      <c r="AV12" s="38">
        <f t="shared" si="46"/>
        <v>33.485313257285718</v>
      </c>
      <c r="AW12" s="38">
        <f t="shared" si="47"/>
        <v>2.7380757718571402</v>
      </c>
      <c r="AX12" s="4">
        <f t="shared" si="48"/>
        <v>320</v>
      </c>
      <c r="AY12" s="5">
        <f t="shared" si="49"/>
        <v>2.5942500198766076</v>
      </c>
      <c r="AZ12" s="8">
        <f t="shared" si="50"/>
        <v>460.0070341833499</v>
      </c>
      <c r="BA12" s="8">
        <f t="shared" si="51"/>
        <v>359339.09482266562</v>
      </c>
      <c r="BB12" s="3">
        <f t="shared" si="52"/>
        <v>3593390948.226656</v>
      </c>
      <c r="BC12" s="5">
        <f t="shared" si="53"/>
        <v>3.5933909482266562</v>
      </c>
      <c r="BD12" s="3">
        <f t="shared" si="54"/>
        <v>0.5</v>
      </c>
      <c r="BE12" s="3">
        <f t="shared" si="55"/>
        <v>11.74</v>
      </c>
      <c r="BF12" s="3">
        <f t="shared" si="56"/>
        <v>0.33600000000000002</v>
      </c>
      <c r="BG12" s="5">
        <f t="shared" si="57"/>
        <v>3.0655999392000002</v>
      </c>
      <c r="BH12" s="8">
        <f t="shared" si="58"/>
        <v>0</v>
      </c>
      <c r="BI12" s="8">
        <f t="shared" si="59"/>
        <v>1.9711598623999997</v>
      </c>
      <c r="BJ12" s="8">
        <f t="shared" si="60"/>
        <v>45.619046714285716</v>
      </c>
      <c r="BK12" s="8">
        <f t="shared" si="61"/>
        <v>136.85714014285713</v>
      </c>
      <c r="BL12" s="2">
        <f t="shared" si="62"/>
        <v>0</v>
      </c>
      <c r="BM12" s="3">
        <f t="shared" si="63"/>
        <v>0</v>
      </c>
      <c r="BN12" s="96">
        <f t="shared" si="64"/>
        <v>6</v>
      </c>
      <c r="BO12" s="2">
        <f t="shared" si="65"/>
        <v>320</v>
      </c>
      <c r="BP12" s="2">
        <f t="shared" si="66"/>
        <v>669.67405634539386</v>
      </c>
      <c r="BQ12" s="2">
        <f t="shared" si="67"/>
        <v>0</v>
      </c>
      <c r="BR12" s="2">
        <f t="shared" si="68"/>
        <v>3.2000000000000001E-2</v>
      </c>
      <c r="BS12" s="96">
        <f t="shared" si="69"/>
        <v>0.114988510343253</v>
      </c>
      <c r="BT12" s="2">
        <f t="shared" si="70"/>
        <v>114988.510343253</v>
      </c>
      <c r="BU12" s="79">
        <f t="shared" si="71"/>
        <v>37.509300829794647</v>
      </c>
      <c r="BV12" s="97">
        <f t="shared" si="72"/>
        <v>35.700681710138788</v>
      </c>
      <c r="BW12" s="97">
        <f t="shared" si="73"/>
        <v>107.10204513041634</v>
      </c>
      <c r="BX12" s="79">
        <f t="shared" si="74"/>
        <v>21.491516796649741</v>
      </c>
      <c r="BY12" s="79">
        <f t="shared" si="75"/>
        <v>7.0554263818975862</v>
      </c>
      <c r="BZ12" s="79">
        <f t="shared" si="76"/>
        <v>0</v>
      </c>
      <c r="CA12" s="79">
        <f t="shared" si="77"/>
        <v>3.239885285714287</v>
      </c>
      <c r="CB12" s="79">
        <f t="shared" si="78"/>
        <v>0</v>
      </c>
      <c r="CC12" s="79">
        <f>Table4[[#This Row],[sed_del_kg_with_BP]]-Table4[[#This Row],[sed_del_kg_no_drain_BP]]</f>
        <v>0</v>
      </c>
      <c r="CD12" s="79">
        <f>Table4[[#This Row],[Disp_offset_m]]-Table4[[#This Row],[Disp_offset_m31]]</f>
        <v>30.245427971571431</v>
      </c>
      <c r="CE12" s="79">
        <f>Table4[[#This Row],[Gull_offset_m]]-Table4[[#This Row],[Gull_offset_m32]]</f>
        <v>2.7380757718571402</v>
      </c>
    </row>
    <row r="13" spans="1:83" x14ac:dyDescent="0.4">
      <c r="A13" s="21">
        <v>69</v>
      </c>
      <c r="B13" s="21" t="s">
        <v>94</v>
      </c>
      <c r="C13" s="21">
        <v>49.795875000000002</v>
      </c>
      <c r="D13" s="21">
        <v>619712.5</v>
      </c>
      <c r="E13" s="21">
        <v>6081464.2999999998</v>
      </c>
      <c r="F13" s="21">
        <v>752.1</v>
      </c>
      <c r="G13" s="21">
        <v>11</v>
      </c>
      <c r="H13" s="21">
        <v>0</v>
      </c>
      <c r="I13" s="21">
        <v>34.200000000000003</v>
      </c>
      <c r="J13" s="21">
        <v>0</v>
      </c>
      <c r="K13" s="21">
        <v>100</v>
      </c>
      <c r="L13" s="21">
        <v>2.5</v>
      </c>
      <c r="M13" s="21">
        <v>100</v>
      </c>
      <c r="N13" s="21">
        <v>0</v>
      </c>
      <c r="O13" s="35">
        <v>7</v>
      </c>
      <c r="P13" s="21">
        <v>90</v>
      </c>
      <c r="Q13" s="4">
        <v>781.16</v>
      </c>
      <c r="R13" s="4">
        <v>30.899999619999999</v>
      </c>
      <c r="S13" s="4">
        <f t="shared" si="17"/>
        <v>85.5</v>
      </c>
      <c r="T13" s="5">
        <f t="shared" si="18"/>
        <v>2.5942500198766076</v>
      </c>
      <c r="U13" s="8">
        <f t="shared" si="19"/>
        <v>460.0070341833499</v>
      </c>
      <c r="V13" s="8">
        <f t="shared" si="20"/>
        <v>359339.09482266562</v>
      </c>
      <c r="W13" s="3">
        <f t="shared" si="21"/>
        <v>3593390948.226656</v>
      </c>
      <c r="X13" s="5">
        <f t="shared" si="22"/>
        <v>3.5933909482266562</v>
      </c>
      <c r="Y13" s="3">
        <f t="shared" si="23"/>
        <v>0.5</v>
      </c>
      <c r="Z13" s="3">
        <f t="shared" si="24"/>
        <v>11.74</v>
      </c>
      <c r="AA13" s="3">
        <f t="shared" si="25"/>
        <v>0.33600000000000002</v>
      </c>
      <c r="AB13" s="5">
        <f t="shared" si="26"/>
        <v>0.81908998375500008</v>
      </c>
      <c r="AC13" s="8">
        <f t="shared" si="27"/>
        <v>0</v>
      </c>
      <c r="AD13" s="8">
        <f t="shared" si="28"/>
        <v>0</v>
      </c>
      <c r="AE13" s="8">
        <f t="shared" si="29"/>
        <v>12.188839043973214</v>
      </c>
      <c r="AF13" s="8">
        <f t="shared" si="30"/>
        <v>36.566517131919639</v>
      </c>
      <c r="AG13" s="3">
        <f t="shared" si="31"/>
        <v>0</v>
      </c>
      <c r="AH13" s="3">
        <f t="shared" si="32"/>
        <v>0</v>
      </c>
      <c r="AI13" s="9">
        <f t="shared" si="33"/>
        <v>7</v>
      </c>
      <c r="AJ13" s="3">
        <f t="shared" si="34"/>
        <v>85.5</v>
      </c>
      <c r="AK13" s="3">
        <f t="shared" si="35"/>
        <v>574.38563336875552</v>
      </c>
      <c r="AL13" s="3">
        <f t="shared" si="36"/>
        <v>0</v>
      </c>
      <c r="AM13" s="3">
        <f t="shared" si="37"/>
        <v>8.5500000000000003E-3</v>
      </c>
      <c r="AN13" s="9">
        <f t="shared" si="38"/>
        <v>3.0723492607337911E-2</v>
      </c>
      <c r="AO13" s="3">
        <f t="shared" si="39"/>
        <v>30723.49260733791</v>
      </c>
      <c r="AP13" s="8">
        <f t="shared" si="40"/>
        <v>37.509300829794654</v>
      </c>
      <c r="AQ13" s="10">
        <f t="shared" si="41"/>
        <v>136.17888414243367</v>
      </c>
      <c r="AR13" s="10">
        <f t="shared" si="42"/>
        <v>408.53665242730096</v>
      </c>
      <c r="AS13" s="8">
        <f t="shared" si="43"/>
        <v>4.4825780196345653</v>
      </c>
      <c r="AT13" s="8">
        <f t="shared" si="44"/>
        <v>6.401852057419874E-2</v>
      </c>
      <c r="AU13" s="8">
        <f t="shared" si="45"/>
        <v>0</v>
      </c>
      <c r="AV13" s="38">
        <f t="shared" si="46"/>
        <v>37.607035956026792</v>
      </c>
      <c r="AW13" s="38">
        <f t="shared" si="47"/>
        <v>13.229357868080363</v>
      </c>
      <c r="AX13" s="4">
        <f t="shared" si="48"/>
        <v>250</v>
      </c>
      <c r="AY13" s="5">
        <f t="shared" si="49"/>
        <v>2.5942500198766076</v>
      </c>
      <c r="AZ13" s="8">
        <f t="shared" si="50"/>
        <v>460.0070341833499</v>
      </c>
      <c r="BA13" s="8">
        <f t="shared" si="51"/>
        <v>359339.09482266562</v>
      </c>
      <c r="BB13" s="3">
        <f t="shared" si="52"/>
        <v>3593390948.226656</v>
      </c>
      <c r="BC13" s="5">
        <f t="shared" si="53"/>
        <v>3.5933909482266562</v>
      </c>
      <c r="BD13" s="3">
        <f t="shared" si="54"/>
        <v>0.5</v>
      </c>
      <c r="BE13" s="3">
        <f t="shared" si="55"/>
        <v>11.74</v>
      </c>
      <c r="BF13" s="3">
        <f t="shared" si="56"/>
        <v>0.33600000000000002</v>
      </c>
      <c r="BG13" s="5">
        <f t="shared" si="57"/>
        <v>2.3949999525000001</v>
      </c>
      <c r="BH13" s="8">
        <f t="shared" si="58"/>
        <v>0</v>
      </c>
      <c r="BI13" s="8">
        <f t="shared" si="59"/>
        <v>1.2795723525</v>
      </c>
      <c r="BJ13" s="8">
        <f t="shared" si="60"/>
        <v>35.639880245535714</v>
      </c>
      <c r="BK13" s="8">
        <f t="shared" si="61"/>
        <v>106.91964073660714</v>
      </c>
      <c r="BL13" s="3">
        <f t="shared" si="62"/>
        <v>0</v>
      </c>
      <c r="BM13" s="3">
        <f t="shared" si="63"/>
        <v>0</v>
      </c>
      <c r="BN13" s="9">
        <f t="shared" si="64"/>
        <v>7</v>
      </c>
      <c r="BO13" s="3">
        <f t="shared" si="65"/>
        <v>250</v>
      </c>
      <c r="BP13" s="3">
        <f t="shared" si="66"/>
        <v>574.38563336875552</v>
      </c>
      <c r="BQ13" s="3">
        <f t="shared" si="67"/>
        <v>0</v>
      </c>
      <c r="BR13" s="3">
        <f t="shared" si="68"/>
        <v>2.5000000000000001E-2</v>
      </c>
      <c r="BS13" s="9">
        <f t="shared" si="69"/>
        <v>8.9834773705666407E-2</v>
      </c>
      <c r="BT13" s="3">
        <f t="shared" si="70"/>
        <v>89834.773705666405</v>
      </c>
      <c r="BU13" s="8">
        <f t="shared" si="71"/>
        <v>37.509300829794647</v>
      </c>
      <c r="BV13" s="10">
        <f t="shared" si="72"/>
        <v>46.573178376712306</v>
      </c>
      <c r="BW13" s="10">
        <f t="shared" si="73"/>
        <v>139.71953513013693</v>
      </c>
      <c r="BX13" s="8">
        <f t="shared" si="74"/>
        <v>18.13869209851682</v>
      </c>
      <c r="BY13" s="8">
        <f t="shared" si="75"/>
        <v>4.2417001867956303</v>
      </c>
      <c r="BZ13" s="8">
        <f t="shared" si="76"/>
        <v>0</v>
      </c>
      <c r="CA13" s="8">
        <f t="shared" si="77"/>
        <v>14.155994754464288</v>
      </c>
      <c r="CB13" s="8">
        <f t="shared" si="78"/>
        <v>0</v>
      </c>
      <c r="CC13" s="8">
        <f>Table4[[#This Row],[sed_del_kg_with_BP]]-Table4[[#This Row],[sed_del_kg_no_drain_BP]]</f>
        <v>0</v>
      </c>
      <c r="CD13" s="8">
        <f>Table4[[#This Row],[Disp_offset_m]]-Table4[[#This Row],[Disp_offset_m31]]</f>
        <v>23.451041201562504</v>
      </c>
      <c r="CE13" s="8">
        <f>Table4[[#This Row],[Gull_offset_m]]-Table4[[#This Row],[Gull_offset_m32]]</f>
        <v>13.229357868080363</v>
      </c>
    </row>
    <row r="14" spans="1:83" x14ac:dyDescent="0.4">
      <c r="A14" s="21">
        <v>119</v>
      </c>
      <c r="B14" s="21" t="s">
        <v>94</v>
      </c>
      <c r="C14" s="21">
        <v>55.453921000000001</v>
      </c>
      <c r="D14" s="21">
        <v>620468.80000000005</v>
      </c>
      <c r="E14" s="21">
        <v>6082644.0999999996</v>
      </c>
      <c r="F14" s="21">
        <v>752.5</v>
      </c>
      <c r="G14" s="21">
        <v>17</v>
      </c>
      <c r="H14" s="21">
        <v>0</v>
      </c>
      <c r="I14" s="21">
        <v>41</v>
      </c>
      <c r="J14" s="21">
        <v>0</v>
      </c>
      <c r="K14" s="21">
        <v>100</v>
      </c>
      <c r="L14" s="21">
        <v>3</v>
      </c>
      <c r="M14" s="21">
        <v>100</v>
      </c>
      <c r="N14" s="21">
        <v>1</v>
      </c>
      <c r="O14" s="35">
        <v>10</v>
      </c>
      <c r="P14" s="21">
        <v>90</v>
      </c>
      <c r="Q14" s="4">
        <v>781.16</v>
      </c>
      <c r="R14" s="4">
        <v>30.899999619999999</v>
      </c>
      <c r="S14" s="4">
        <f t="shared" si="17"/>
        <v>123</v>
      </c>
      <c r="T14" s="5">
        <f t="shared" si="18"/>
        <v>3.2456920022533735</v>
      </c>
      <c r="U14" s="8">
        <f t="shared" si="19"/>
        <v>515.17765567083813</v>
      </c>
      <c r="V14" s="8">
        <f t="shared" si="20"/>
        <v>402436.17750383192</v>
      </c>
      <c r="W14" s="3">
        <f t="shared" si="21"/>
        <v>4024361775.0383191</v>
      </c>
      <c r="X14" s="5">
        <f t="shared" si="22"/>
        <v>4.0243617750383187</v>
      </c>
      <c r="Y14" s="3">
        <f t="shared" si="23"/>
        <v>0.5</v>
      </c>
      <c r="Z14" s="3">
        <f t="shared" si="24"/>
        <v>11.74</v>
      </c>
      <c r="AA14" s="3">
        <f t="shared" si="25"/>
        <v>0.33600000000000002</v>
      </c>
      <c r="AB14" s="5">
        <f t="shared" si="26"/>
        <v>1.1783399766300002</v>
      </c>
      <c r="AC14" s="8">
        <f t="shared" si="27"/>
        <v>0</v>
      </c>
      <c r="AD14" s="8">
        <f t="shared" si="28"/>
        <v>0</v>
      </c>
      <c r="AE14" s="8">
        <f t="shared" si="29"/>
        <v>17.534821080803574</v>
      </c>
      <c r="AF14" s="8">
        <f t="shared" si="30"/>
        <v>52.604463242410723</v>
      </c>
      <c r="AG14" s="3">
        <f t="shared" si="31"/>
        <v>0</v>
      </c>
      <c r="AH14" s="3">
        <f t="shared" si="32"/>
        <v>1</v>
      </c>
      <c r="AI14" s="9">
        <f t="shared" si="33"/>
        <v>10</v>
      </c>
      <c r="AJ14" s="3">
        <f t="shared" si="34"/>
        <v>123</v>
      </c>
      <c r="AK14" s="3">
        <f t="shared" si="35"/>
        <v>403.1139338200544</v>
      </c>
      <c r="AL14" s="3">
        <f t="shared" si="36"/>
        <v>0</v>
      </c>
      <c r="AM14" s="3">
        <f t="shared" si="37"/>
        <v>1.23E-2</v>
      </c>
      <c r="AN14" s="9">
        <f t="shared" si="38"/>
        <v>4.9499649832971324E-2</v>
      </c>
      <c r="AO14" s="3">
        <f t="shared" si="39"/>
        <v>49499.649832971321</v>
      </c>
      <c r="AP14" s="8">
        <f t="shared" si="40"/>
        <v>42.007952555881296</v>
      </c>
      <c r="AQ14" s="10">
        <f t="shared" si="41"/>
        <v>105.41676044570301</v>
      </c>
      <c r="AR14" s="10">
        <f t="shared" si="42"/>
        <v>316.25028133710902</v>
      </c>
      <c r="AS14" s="8">
        <f t="shared" si="43"/>
        <v>8.1121057578585614</v>
      </c>
      <c r="AT14" s="8">
        <f t="shared" si="44"/>
        <v>0.30250863939647299</v>
      </c>
      <c r="AU14" s="8">
        <f t="shared" si="45"/>
        <v>0</v>
      </c>
      <c r="AV14" s="38">
        <f t="shared" si="46"/>
        <v>37.919099919196427</v>
      </c>
      <c r="AW14" s="38">
        <f t="shared" si="47"/>
        <v>2.8494577575892777</v>
      </c>
      <c r="AX14" s="4">
        <f t="shared" si="48"/>
        <v>300</v>
      </c>
      <c r="AY14" s="5">
        <f t="shared" si="49"/>
        <v>3.2456920022533735</v>
      </c>
      <c r="AZ14" s="8">
        <f t="shared" si="50"/>
        <v>515.17765567083813</v>
      </c>
      <c r="BA14" s="8">
        <f t="shared" si="51"/>
        <v>402436.17750383192</v>
      </c>
      <c r="BB14" s="3">
        <f t="shared" si="52"/>
        <v>4024361775.0383191</v>
      </c>
      <c r="BC14" s="5">
        <f t="shared" si="53"/>
        <v>4.0243617750383187</v>
      </c>
      <c r="BD14" s="3">
        <f t="shared" si="54"/>
        <v>0.5</v>
      </c>
      <c r="BE14" s="3">
        <f t="shared" si="55"/>
        <v>11.74</v>
      </c>
      <c r="BF14" s="3">
        <f t="shared" si="56"/>
        <v>0.33600000000000002</v>
      </c>
      <c r="BG14" s="5">
        <f t="shared" si="57"/>
        <v>2.8739999430000003</v>
      </c>
      <c r="BH14" s="8">
        <f t="shared" si="58"/>
        <v>0</v>
      </c>
      <c r="BI14" s="8">
        <f t="shared" si="59"/>
        <v>1.6318321126000002</v>
      </c>
      <c r="BJ14" s="8">
        <f t="shared" si="60"/>
        <v>42.767856294642861</v>
      </c>
      <c r="BK14" s="8">
        <f t="shared" si="61"/>
        <v>128.30356888392859</v>
      </c>
      <c r="BL14" s="3">
        <f t="shared" si="62"/>
        <v>0</v>
      </c>
      <c r="BM14" s="3">
        <f t="shared" si="63"/>
        <v>1</v>
      </c>
      <c r="BN14" s="9">
        <f t="shared" si="64"/>
        <v>10</v>
      </c>
      <c r="BO14" s="3">
        <f t="shared" si="65"/>
        <v>300</v>
      </c>
      <c r="BP14" s="3">
        <f t="shared" si="66"/>
        <v>403.1139338200544</v>
      </c>
      <c r="BQ14" s="3">
        <f t="shared" si="67"/>
        <v>1.6318321126000002</v>
      </c>
      <c r="BR14" s="3">
        <f t="shared" si="68"/>
        <v>0.03</v>
      </c>
      <c r="BS14" s="9">
        <f t="shared" si="69"/>
        <v>0.12073085325114956</v>
      </c>
      <c r="BT14" s="3">
        <f t="shared" si="70"/>
        <v>120730.85325114956</v>
      </c>
      <c r="BU14" s="8">
        <f t="shared" si="71"/>
        <v>42.007952555881296</v>
      </c>
      <c r="BV14" s="10">
        <f t="shared" si="72"/>
        <v>43.220871782738229</v>
      </c>
      <c r="BW14" s="10">
        <f t="shared" si="73"/>
        <v>129.6626153482147</v>
      </c>
      <c r="BX14" s="8">
        <f t="shared" si="74"/>
        <v>21.404760426317999</v>
      </c>
      <c r="BY14" s="8">
        <f t="shared" si="75"/>
        <v>5.5573542878159818</v>
      </c>
      <c r="BZ14" s="8">
        <f t="shared" si="76"/>
        <v>34.928975426175377</v>
      </c>
      <c r="CA14" s="8">
        <f t="shared" si="77"/>
        <v>12.68606470535714</v>
      </c>
      <c r="CB14" s="8">
        <f t="shared" si="78"/>
        <v>0</v>
      </c>
      <c r="CC14" s="8">
        <f>Table4[[#This Row],[sed_del_kg_with_BP]]-Table4[[#This Row],[sed_del_kg_no_drain_BP]]</f>
        <v>34.928975426175377</v>
      </c>
      <c r="CD14" s="8">
        <f>Table4[[#This Row],[Disp_offset_m]]-Table4[[#This Row],[Disp_offset_m31]]</f>
        <v>25.233035213839287</v>
      </c>
      <c r="CE14" s="8">
        <f>Table4[[#This Row],[Gull_offset_m]]-Table4[[#This Row],[Gull_offset_m32]]</f>
        <v>2.8494577575892777</v>
      </c>
    </row>
    <row r="15" spans="1:83" x14ac:dyDescent="0.4">
      <c r="A15" s="21">
        <v>72</v>
      </c>
      <c r="B15" s="21" t="s">
        <v>94</v>
      </c>
      <c r="C15" s="21">
        <v>52.988652999999999</v>
      </c>
      <c r="D15" s="21">
        <v>619792.9</v>
      </c>
      <c r="E15" s="21">
        <v>6081514</v>
      </c>
      <c r="F15" s="21">
        <v>753.5</v>
      </c>
      <c r="G15" s="21">
        <v>13</v>
      </c>
      <c r="H15" s="21">
        <v>0</v>
      </c>
      <c r="I15" s="21">
        <v>52</v>
      </c>
      <c r="J15" s="21">
        <v>0</v>
      </c>
      <c r="K15" s="21">
        <v>100</v>
      </c>
      <c r="L15" s="21">
        <v>2.8</v>
      </c>
      <c r="M15" s="21">
        <v>100</v>
      </c>
      <c r="N15" s="21">
        <v>0</v>
      </c>
      <c r="O15" s="35">
        <v>8</v>
      </c>
      <c r="P15" s="21">
        <v>90</v>
      </c>
      <c r="Q15" s="4">
        <v>781.16</v>
      </c>
      <c r="R15" s="4">
        <v>30.899999619999999</v>
      </c>
      <c r="S15" s="4">
        <f t="shared" si="17"/>
        <v>145.6</v>
      </c>
      <c r="T15" s="5">
        <f t="shared" si="18"/>
        <v>2.8192668236646963</v>
      </c>
      <c r="U15" s="8">
        <f t="shared" si="19"/>
        <v>479.0637072961631</v>
      </c>
      <c r="V15" s="8">
        <f t="shared" si="20"/>
        <v>374225.40559147077</v>
      </c>
      <c r="W15" s="3">
        <f t="shared" si="21"/>
        <v>3742254055.9147077</v>
      </c>
      <c r="X15" s="5">
        <f t="shared" si="22"/>
        <v>3.7422540559147075</v>
      </c>
      <c r="Y15" s="3">
        <f t="shared" si="23"/>
        <v>0.5</v>
      </c>
      <c r="Z15" s="3">
        <f t="shared" si="24"/>
        <v>11.74</v>
      </c>
      <c r="AA15" s="3">
        <f t="shared" si="25"/>
        <v>0.33600000000000002</v>
      </c>
      <c r="AB15" s="5">
        <f t="shared" si="26"/>
        <v>1.3948479723359999</v>
      </c>
      <c r="AC15" s="8">
        <f t="shared" si="27"/>
        <v>0</v>
      </c>
      <c r="AD15" s="8">
        <f t="shared" si="28"/>
        <v>0.20790214513599964</v>
      </c>
      <c r="AE15" s="8">
        <f t="shared" si="29"/>
        <v>20.756666254999995</v>
      </c>
      <c r="AF15" s="8">
        <f t="shared" si="30"/>
        <v>62.269998764999983</v>
      </c>
      <c r="AG15" s="3">
        <f t="shared" si="31"/>
        <v>0</v>
      </c>
      <c r="AH15" s="3">
        <f t="shared" si="32"/>
        <v>0</v>
      </c>
      <c r="AI15" s="9">
        <f t="shared" si="33"/>
        <v>8</v>
      </c>
      <c r="AJ15" s="3">
        <f t="shared" si="34"/>
        <v>145.6</v>
      </c>
      <c r="AK15" s="3">
        <f t="shared" si="35"/>
        <v>502.97075740294036</v>
      </c>
      <c r="AL15" s="3">
        <f t="shared" si="36"/>
        <v>0</v>
      </c>
      <c r="AM15" s="3">
        <f t="shared" si="37"/>
        <v>1.456E-2</v>
      </c>
      <c r="AN15" s="9">
        <f t="shared" si="38"/>
        <v>5.4487219054118144E-2</v>
      </c>
      <c r="AO15" s="3">
        <f t="shared" si="39"/>
        <v>54487.219054118141</v>
      </c>
      <c r="AP15" s="8">
        <f t="shared" si="40"/>
        <v>39.063195512889138</v>
      </c>
      <c r="AQ15" s="10">
        <f t="shared" si="41"/>
        <v>85.09499606700372</v>
      </c>
      <c r="AR15" s="10">
        <f t="shared" si="42"/>
        <v>255.28498820101112</v>
      </c>
      <c r="AS15" s="8">
        <f t="shared" si="43"/>
        <v>10.357374663132401</v>
      </c>
      <c r="AT15" s="8">
        <f t="shared" si="44"/>
        <v>0.72813771227086499</v>
      </c>
      <c r="AU15" s="8">
        <f t="shared" si="45"/>
        <v>0</v>
      </c>
      <c r="AV15" s="38">
        <f t="shared" si="46"/>
        <v>32.231986745</v>
      </c>
      <c r="AW15" s="38">
        <f t="shared" si="47"/>
        <v>0</v>
      </c>
      <c r="AX15" s="4">
        <f t="shared" si="48"/>
        <v>280</v>
      </c>
      <c r="AY15" s="5">
        <f t="shared" si="49"/>
        <v>2.8192668236646963</v>
      </c>
      <c r="AZ15" s="8">
        <f t="shared" si="50"/>
        <v>479.0637072961631</v>
      </c>
      <c r="BA15" s="8">
        <f t="shared" si="51"/>
        <v>374225.40559147077</v>
      </c>
      <c r="BB15" s="3">
        <f t="shared" si="52"/>
        <v>3742254055.9147077</v>
      </c>
      <c r="BC15" s="5">
        <f t="shared" si="53"/>
        <v>3.7422540559147075</v>
      </c>
      <c r="BD15" s="3">
        <f t="shared" si="54"/>
        <v>0.5</v>
      </c>
      <c r="BE15" s="3">
        <f t="shared" si="55"/>
        <v>11.74</v>
      </c>
      <c r="BF15" s="3">
        <f t="shared" si="56"/>
        <v>0.33600000000000002</v>
      </c>
      <c r="BG15" s="5">
        <f t="shared" si="57"/>
        <v>2.6823999468000004</v>
      </c>
      <c r="BH15" s="8">
        <f t="shared" si="58"/>
        <v>0</v>
      </c>
      <c r="BI15" s="8">
        <f t="shared" si="59"/>
        <v>1.4954541196</v>
      </c>
      <c r="BJ15" s="8">
        <f t="shared" si="60"/>
        <v>39.916665875</v>
      </c>
      <c r="BK15" s="8">
        <f t="shared" si="61"/>
        <v>119.74999762499999</v>
      </c>
      <c r="BL15" s="3">
        <f t="shared" si="62"/>
        <v>0</v>
      </c>
      <c r="BM15" s="3">
        <f t="shared" si="63"/>
        <v>0</v>
      </c>
      <c r="BN15" s="9">
        <f t="shared" si="64"/>
        <v>8</v>
      </c>
      <c r="BO15" s="3">
        <f t="shared" si="65"/>
        <v>280</v>
      </c>
      <c r="BP15" s="3">
        <f t="shared" si="66"/>
        <v>502.97075740294036</v>
      </c>
      <c r="BQ15" s="3">
        <f t="shared" si="67"/>
        <v>0</v>
      </c>
      <c r="BR15" s="3">
        <f t="shared" si="68"/>
        <v>2.8000000000000001E-2</v>
      </c>
      <c r="BS15" s="9">
        <f t="shared" si="69"/>
        <v>0.10478311356561182</v>
      </c>
      <c r="BT15" s="3">
        <f t="shared" si="70"/>
        <v>104783.11356561181</v>
      </c>
      <c r="BU15" s="8">
        <f t="shared" si="71"/>
        <v>39.063195512889131</v>
      </c>
      <c r="BV15" s="10">
        <f t="shared" si="72"/>
        <v>44.249397954841925</v>
      </c>
      <c r="BW15" s="10">
        <f t="shared" si="73"/>
        <v>132.74819386452577</v>
      </c>
      <c r="BX15" s="8">
        <f t="shared" si="74"/>
        <v>19.587470945694747</v>
      </c>
      <c r="BY15" s="8">
        <f t="shared" si="75"/>
        <v>4.9249243208517468</v>
      </c>
      <c r="BZ15" s="8">
        <f t="shared" si="76"/>
        <v>0</v>
      </c>
      <c r="CA15" s="8">
        <f t="shared" si="77"/>
        <v>13.071987125</v>
      </c>
      <c r="CB15" s="8">
        <f t="shared" si="78"/>
        <v>0</v>
      </c>
      <c r="CC15" s="8">
        <f>Table4[[#This Row],[sed_del_kg_with_BP]]-Table4[[#This Row],[sed_del_kg_no_drain_BP]]</f>
        <v>0</v>
      </c>
      <c r="CD15" s="8">
        <f>Table4[[#This Row],[Disp_offset_m]]-Table4[[#This Row],[Disp_offset_m31]]</f>
        <v>19.159999620000001</v>
      </c>
      <c r="CE15" s="8">
        <f>Table4[[#This Row],[Gull_offset_m]]-Table4[[#This Row],[Gull_offset_m32]]</f>
        <v>0</v>
      </c>
    </row>
    <row r="16" spans="1:83" x14ac:dyDescent="0.4">
      <c r="A16" s="21">
        <v>123</v>
      </c>
      <c r="B16" s="21" t="s">
        <v>94</v>
      </c>
      <c r="C16" s="21">
        <v>63.482765999999998</v>
      </c>
      <c r="D16" s="21">
        <v>620528.4</v>
      </c>
      <c r="E16" s="21">
        <v>6082716.4000000004</v>
      </c>
      <c r="F16" s="21">
        <v>754.3</v>
      </c>
      <c r="G16" s="21">
        <v>13</v>
      </c>
      <c r="H16" s="21">
        <v>0</v>
      </c>
      <c r="I16" s="21">
        <v>38.299999999999997</v>
      </c>
      <c r="J16" s="21">
        <v>0</v>
      </c>
      <c r="K16" s="21">
        <v>100</v>
      </c>
      <c r="L16" s="21">
        <v>3.2</v>
      </c>
      <c r="M16" s="21">
        <v>100</v>
      </c>
      <c r="N16" s="21">
        <v>0</v>
      </c>
      <c r="O16" s="35">
        <v>12</v>
      </c>
      <c r="P16" s="21">
        <v>90</v>
      </c>
      <c r="Q16" s="4">
        <v>781.16</v>
      </c>
      <c r="R16" s="4">
        <v>30.899999619999999</v>
      </c>
      <c r="S16" s="4">
        <f t="shared" si="17"/>
        <v>122.56</v>
      </c>
      <c r="T16" s="5">
        <f t="shared" si="18"/>
        <v>2.8192668236646963</v>
      </c>
      <c r="U16" s="8">
        <f t="shared" si="19"/>
        <v>479.0637072961631</v>
      </c>
      <c r="V16" s="8">
        <f t="shared" si="20"/>
        <v>374225.40559147077</v>
      </c>
      <c r="W16" s="3">
        <f t="shared" si="21"/>
        <v>3742254055.9147077</v>
      </c>
      <c r="X16" s="5">
        <f t="shared" si="22"/>
        <v>3.7422540559147075</v>
      </c>
      <c r="Y16" s="3">
        <f t="shared" si="23"/>
        <v>0.5</v>
      </c>
      <c r="Z16" s="3">
        <f t="shared" si="24"/>
        <v>11.74</v>
      </c>
      <c r="AA16" s="3">
        <f t="shared" si="25"/>
        <v>0.33600000000000002</v>
      </c>
      <c r="AB16" s="5">
        <f t="shared" si="26"/>
        <v>1.1741247767136</v>
      </c>
      <c r="AC16" s="8">
        <f t="shared" si="27"/>
        <v>0</v>
      </c>
      <c r="AD16" s="8">
        <f t="shared" si="28"/>
        <v>0</v>
      </c>
      <c r="AE16" s="8">
        <f t="shared" si="29"/>
        <v>17.472094891571427</v>
      </c>
      <c r="AF16" s="8">
        <f t="shared" si="30"/>
        <v>52.416284674714277</v>
      </c>
      <c r="AG16" s="3">
        <f t="shared" si="31"/>
        <v>0</v>
      </c>
      <c r="AH16" s="3">
        <f t="shared" si="32"/>
        <v>0</v>
      </c>
      <c r="AI16" s="9">
        <f t="shared" si="33"/>
        <v>12</v>
      </c>
      <c r="AJ16" s="3">
        <f t="shared" si="34"/>
        <v>122.56</v>
      </c>
      <c r="AK16" s="3">
        <f t="shared" si="35"/>
        <v>336.68140413208914</v>
      </c>
      <c r="AL16" s="3">
        <f t="shared" si="36"/>
        <v>0</v>
      </c>
      <c r="AM16" s="3">
        <f t="shared" si="37"/>
        <v>1.2256E-2</v>
      </c>
      <c r="AN16" s="9">
        <f t="shared" si="38"/>
        <v>4.5865065709290651E-2</v>
      </c>
      <c r="AO16" s="3">
        <f t="shared" si="39"/>
        <v>45865.065709290648</v>
      </c>
      <c r="AP16" s="8">
        <f t="shared" si="40"/>
        <v>39.063195512889124</v>
      </c>
      <c r="AQ16" s="10">
        <f t="shared" si="41"/>
        <v>121.1126778518589</v>
      </c>
      <c r="AR16" s="10">
        <f t="shared" si="42"/>
        <v>363.33803355557677</v>
      </c>
      <c r="AS16" s="8">
        <f t="shared" si="43"/>
        <v>5.9051388183188482</v>
      </c>
      <c r="AT16" s="8">
        <f t="shared" si="44"/>
        <v>0.13494437924972288</v>
      </c>
      <c r="AU16" s="8">
        <f t="shared" si="45"/>
        <v>0</v>
      </c>
      <c r="AV16" s="38">
        <f t="shared" si="46"/>
        <v>46.010671108428568</v>
      </c>
      <c r="AW16" s="38">
        <f t="shared" si="47"/>
        <v>11.066481325285721</v>
      </c>
      <c r="AX16" s="4">
        <f t="shared" si="48"/>
        <v>320</v>
      </c>
      <c r="AY16" s="5">
        <f t="shared" si="49"/>
        <v>2.8192668236646963</v>
      </c>
      <c r="AZ16" s="8">
        <f t="shared" si="50"/>
        <v>479.0637072961631</v>
      </c>
      <c r="BA16" s="8">
        <f t="shared" si="51"/>
        <v>374225.40559147077</v>
      </c>
      <c r="BB16" s="3">
        <f t="shared" si="52"/>
        <v>3742254055.9147077</v>
      </c>
      <c r="BC16" s="5">
        <f t="shared" si="53"/>
        <v>3.7422540559147075</v>
      </c>
      <c r="BD16" s="3">
        <f t="shared" si="54"/>
        <v>0.5</v>
      </c>
      <c r="BE16" s="3">
        <f t="shared" si="55"/>
        <v>11.74</v>
      </c>
      <c r="BF16" s="3">
        <f t="shared" si="56"/>
        <v>0.33600000000000002</v>
      </c>
      <c r="BG16" s="5">
        <f t="shared" si="57"/>
        <v>3.0655999392000002</v>
      </c>
      <c r="BH16" s="8">
        <f t="shared" si="58"/>
        <v>0</v>
      </c>
      <c r="BI16" s="8">
        <f t="shared" si="59"/>
        <v>1.6435859808000002</v>
      </c>
      <c r="BJ16" s="8">
        <f t="shared" si="60"/>
        <v>45.619046714285716</v>
      </c>
      <c r="BK16" s="8">
        <f t="shared" si="61"/>
        <v>136.85714014285713</v>
      </c>
      <c r="BL16" s="3">
        <f t="shared" si="62"/>
        <v>0</v>
      </c>
      <c r="BM16" s="3">
        <f t="shared" si="63"/>
        <v>0</v>
      </c>
      <c r="BN16" s="9">
        <f t="shared" si="64"/>
        <v>12</v>
      </c>
      <c r="BO16" s="3">
        <f t="shared" si="65"/>
        <v>320</v>
      </c>
      <c r="BP16" s="3">
        <f t="shared" si="66"/>
        <v>336.68140413208914</v>
      </c>
      <c r="BQ16" s="3">
        <f t="shared" si="67"/>
        <v>0</v>
      </c>
      <c r="BR16" s="3">
        <f t="shared" si="68"/>
        <v>3.2000000000000001E-2</v>
      </c>
      <c r="BS16" s="9">
        <f t="shared" si="69"/>
        <v>0.11975212978927065</v>
      </c>
      <c r="BT16" s="3">
        <f t="shared" si="70"/>
        <v>119752.12978927065</v>
      </c>
      <c r="BU16" s="8">
        <f t="shared" si="71"/>
        <v>39.063195512889131</v>
      </c>
      <c r="BV16" s="10">
        <f t="shared" si="72"/>
        <v>46.386155617261963</v>
      </c>
      <c r="BW16" s="10">
        <f t="shared" si="73"/>
        <v>139.15846685178587</v>
      </c>
      <c r="BX16" s="8">
        <f t="shared" si="74"/>
        <v>18.945315633305238</v>
      </c>
      <c r="BY16" s="8">
        <f t="shared" si="75"/>
        <v>4.4562546541087897</v>
      </c>
      <c r="BZ16" s="8">
        <f t="shared" si="76"/>
        <v>0</v>
      </c>
      <c r="CA16" s="8">
        <f t="shared" si="77"/>
        <v>17.863719285714282</v>
      </c>
      <c r="CB16" s="8">
        <f t="shared" si="78"/>
        <v>0</v>
      </c>
      <c r="CC16" s="8">
        <f>Table4[[#This Row],[sed_del_kg_with_BP]]-Table4[[#This Row],[sed_del_kg_no_drain_BP]]</f>
        <v>0</v>
      </c>
      <c r="CD16" s="8">
        <f>Table4[[#This Row],[Disp_offset_m]]-Table4[[#This Row],[Disp_offset_m31]]</f>
        <v>28.146951822714286</v>
      </c>
      <c r="CE16" s="8">
        <f>Table4[[#This Row],[Gull_offset_m]]-Table4[[#This Row],[Gull_offset_m32]]</f>
        <v>11.066481325285721</v>
      </c>
    </row>
    <row r="17" spans="1:83" x14ac:dyDescent="0.4">
      <c r="A17" s="21">
        <v>70</v>
      </c>
      <c r="B17" s="21" t="s">
        <v>94</v>
      </c>
      <c r="C17" s="21">
        <v>69.882838000000007</v>
      </c>
      <c r="D17" s="21">
        <v>619730.69999999995</v>
      </c>
      <c r="E17" s="21">
        <v>6081493.4000000004</v>
      </c>
      <c r="F17" s="21">
        <v>755</v>
      </c>
      <c r="G17" s="21">
        <v>7</v>
      </c>
      <c r="H17" s="21">
        <v>0</v>
      </c>
      <c r="I17" s="21">
        <v>22.29</v>
      </c>
      <c r="J17" s="21">
        <v>0</v>
      </c>
      <c r="K17" s="21">
        <v>100</v>
      </c>
      <c r="L17" s="21">
        <v>2.2999999999999998</v>
      </c>
      <c r="M17" s="21">
        <v>100</v>
      </c>
      <c r="N17" s="21">
        <v>1</v>
      </c>
      <c r="O17" s="35">
        <v>12</v>
      </c>
      <c r="P17" s="21">
        <v>90</v>
      </c>
      <c r="Q17" s="4">
        <v>781.16</v>
      </c>
      <c r="R17" s="4">
        <v>30.899999619999999</v>
      </c>
      <c r="S17" s="4">
        <f t="shared" si="17"/>
        <v>51.266999999999996</v>
      </c>
      <c r="T17" s="5">
        <f t="shared" si="18"/>
        <v>2.1392813062306222</v>
      </c>
      <c r="U17" s="8">
        <f t="shared" si="19"/>
        <v>421.47573382467135</v>
      </c>
      <c r="V17" s="8">
        <f t="shared" si="20"/>
        <v>329239.98423448025</v>
      </c>
      <c r="W17" s="3">
        <f t="shared" si="21"/>
        <v>3292399842.3448024</v>
      </c>
      <c r="X17" s="5">
        <f t="shared" si="22"/>
        <v>3.2923998423448024</v>
      </c>
      <c r="Y17" s="3">
        <f t="shared" si="23"/>
        <v>0.5</v>
      </c>
      <c r="Z17" s="3">
        <f t="shared" si="24"/>
        <v>11.74</v>
      </c>
      <c r="AA17" s="3">
        <f t="shared" si="25"/>
        <v>0.33600000000000002</v>
      </c>
      <c r="AB17" s="5">
        <f t="shared" si="26"/>
        <v>0.49113785025926993</v>
      </c>
      <c r="AC17" s="8">
        <f t="shared" si="27"/>
        <v>0</v>
      </c>
      <c r="AD17" s="8">
        <f t="shared" si="28"/>
        <v>0</v>
      </c>
      <c r="AE17" s="8">
        <f t="shared" si="29"/>
        <v>7.3085989621915157</v>
      </c>
      <c r="AF17" s="8">
        <f t="shared" si="30"/>
        <v>21.925796886574545</v>
      </c>
      <c r="AG17" s="3">
        <f t="shared" si="31"/>
        <v>0</v>
      </c>
      <c r="AH17" s="3">
        <f t="shared" si="32"/>
        <v>1</v>
      </c>
      <c r="AI17" s="9">
        <f t="shared" si="33"/>
        <v>12</v>
      </c>
      <c r="AJ17" s="3">
        <f t="shared" si="34"/>
        <v>51.266999999999996</v>
      </c>
      <c r="AK17" s="3">
        <f t="shared" si="35"/>
        <v>336.68140413208914</v>
      </c>
      <c r="AL17" s="3">
        <f t="shared" si="36"/>
        <v>0</v>
      </c>
      <c r="AM17" s="3">
        <f t="shared" si="37"/>
        <v>5.1266999999999997E-3</v>
      </c>
      <c r="AN17" s="9">
        <f t="shared" si="38"/>
        <v>1.6879146271749097E-2</v>
      </c>
      <c r="AO17" s="3">
        <f t="shared" si="39"/>
        <v>16879.146271749098</v>
      </c>
      <c r="AP17" s="8">
        <f t="shared" si="40"/>
        <v>34.367431186251792</v>
      </c>
      <c r="AQ17" s="10">
        <f t="shared" si="41"/>
        <v>318.72427880963443</v>
      </c>
      <c r="AR17" s="10">
        <f t="shared" si="42"/>
        <v>956.17283642890334</v>
      </c>
      <c r="AS17" s="8">
        <f t="shared" si="43"/>
        <v>0.2381178877270303</v>
      </c>
      <c r="AT17" s="8">
        <f t="shared" si="44"/>
        <v>1.1430939355274493E-5</v>
      </c>
      <c r="AU17" s="8">
        <f t="shared" si="45"/>
        <v>0</v>
      </c>
      <c r="AV17" s="38">
        <f t="shared" si="46"/>
        <v>62.574239037808489</v>
      </c>
      <c r="AW17" s="38">
        <f t="shared" si="47"/>
        <v>47.957041113425461</v>
      </c>
      <c r="AX17" s="4">
        <f t="shared" si="48"/>
        <v>229.99999999999997</v>
      </c>
      <c r="AY17" s="5">
        <f t="shared" si="49"/>
        <v>2.1392813062306222</v>
      </c>
      <c r="AZ17" s="8">
        <f t="shared" si="50"/>
        <v>421.47573382467135</v>
      </c>
      <c r="BA17" s="8">
        <f t="shared" si="51"/>
        <v>329239.98423448025</v>
      </c>
      <c r="BB17" s="3">
        <f t="shared" si="52"/>
        <v>3292399842.3448024</v>
      </c>
      <c r="BC17" s="5">
        <f t="shared" si="53"/>
        <v>3.2923998423448024</v>
      </c>
      <c r="BD17" s="3">
        <f t="shared" si="54"/>
        <v>0.5</v>
      </c>
      <c r="BE17" s="3">
        <f t="shared" si="55"/>
        <v>11.74</v>
      </c>
      <c r="BF17" s="3">
        <f t="shared" si="56"/>
        <v>0.33600000000000002</v>
      </c>
      <c r="BG17" s="5">
        <f t="shared" si="57"/>
        <v>2.2033999562999997</v>
      </c>
      <c r="BH17" s="8">
        <f t="shared" si="58"/>
        <v>0</v>
      </c>
      <c r="BI17" s="8">
        <f t="shared" si="59"/>
        <v>0.63802438509999959</v>
      </c>
      <c r="BJ17" s="8">
        <f t="shared" si="60"/>
        <v>32.788689825892853</v>
      </c>
      <c r="BK17" s="8">
        <f t="shared" si="61"/>
        <v>98.366069477678565</v>
      </c>
      <c r="BL17" s="3">
        <f t="shared" si="62"/>
        <v>0</v>
      </c>
      <c r="BM17" s="3">
        <f t="shared" si="63"/>
        <v>1</v>
      </c>
      <c r="BN17" s="9">
        <f t="shared" si="64"/>
        <v>12</v>
      </c>
      <c r="BO17" s="3">
        <f t="shared" si="65"/>
        <v>229.99999999999997</v>
      </c>
      <c r="BP17" s="3">
        <f t="shared" si="66"/>
        <v>336.68140413208914</v>
      </c>
      <c r="BQ17" s="3">
        <f t="shared" si="67"/>
        <v>0.63802438509999959</v>
      </c>
      <c r="BR17" s="3">
        <f t="shared" si="68"/>
        <v>2.2999999999999996E-2</v>
      </c>
      <c r="BS17" s="9">
        <f t="shared" si="69"/>
        <v>7.5725196373930437E-2</v>
      </c>
      <c r="BT17" s="3">
        <f t="shared" si="70"/>
        <v>75725.196373930434</v>
      </c>
      <c r="BU17" s="8">
        <f t="shared" si="71"/>
        <v>34.367431186251785</v>
      </c>
      <c r="BV17" s="10">
        <f t="shared" si="72"/>
        <v>71.04364174666749</v>
      </c>
      <c r="BW17" s="10">
        <f t="shared" si="73"/>
        <v>213.13092524000251</v>
      </c>
      <c r="BX17" s="8">
        <f t="shared" si="74"/>
        <v>11.345583358904102</v>
      </c>
      <c r="BY17" s="8">
        <f t="shared" si="75"/>
        <v>1.2364778746956506</v>
      </c>
      <c r="BZ17" s="8">
        <f t="shared" si="76"/>
        <v>7.2387588461655783</v>
      </c>
      <c r="CA17" s="8">
        <f t="shared" si="77"/>
        <v>37.094148174107154</v>
      </c>
      <c r="CB17" s="8">
        <f t="shared" si="78"/>
        <v>0</v>
      </c>
      <c r="CC17" s="8">
        <f>Table4[[#This Row],[sed_del_kg_with_BP]]-Table4[[#This Row],[sed_del_kg_no_drain_BP]]</f>
        <v>7.2387588461655783</v>
      </c>
      <c r="CD17" s="8">
        <f>Table4[[#This Row],[Disp_offset_m]]-Table4[[#This Row],[Disp_offset_m31]]</f>
        <v>25.480090863701335</v>
      </c>
      <c r="CE17" s="8">
        <f>Table4[[#This Row],[Gull_offset_m]]-Table4[[#This Row],[Gull_offset_m32]]</f>
        <v>47.957041113425461</v>
      </c>
    </row>
    <row r="18" spans="1:83" x14ac:dyDescent="0.4">
      <c r="A18" s="21">
        <v>124</v>
      </c>
      <c r="B18" s="21" t="s">
        <v>94</v>
      </c>
      <c r="C18" s="21">
        <v>41.167093000000001</v>
      </c>
      <c r="D18" s="21">
        <v>620561.4</v>
      </c>
      <c r="E18" s="21">
        <v>6082696.7999999998</v>
      </c>
      <c r="F18" s="21">
        <v>760.8</v>
      </c>
      <c r="G18" s="21">
        <v>17</v>
      </c>
      <c r="H18" s="21">
        <v>0</v>
      </c>
      <c r="I18" s="21">
        <v>72</v>
      </c>
      <c r="J18" s="21">
        <v>0</v>
      </c>
      <c r="K18" s="21">
        <v>100</v>
      </c>
      <c r="L18" s="21">
        <v>4</v>
      </c>
      <c r="M18" s="21">
        <v>100</v>
      </c>
      <c r="N18" s="21">
        <v>0</v>
      </c>
      <c r="O18" s="35">
        <v>13</v>
      </c>
      <c r="P18" s="21">
        <v>90</v>
      </c>
      <c r="Q18" s="4">
        <v>781.16</v>
      </c>
      <c r="R18" s="4">
        <v>30.899999619999999</v>
      </c>
      <c r="S18" s="4">
        <f t="shared" si="17"/>
        <v>288</v>
      </c>
      <c r="T18" s="5">
        <f t="shared" si="18"/>
        <v>3.2456920022533735</v>
      </c>
      <c r="U18" s="8">
        <f t="shared" si="19"/>
        <v>515.17765567083813</v>
      </c>
      <c r="V18" s="8">
        <f t="shared" si="20"/>
        <v>402436.17750383192</v>
      </c>
      <c r="W18" s="3">
        <f t="shared" si="21"/>
        <v>4024361775.0383191</v>
      </c>
      <c r="X18" s="5">
        <f t="shared" si="22"/>
        <v>4.0243617750383187</v>
      </c>
      <c r="Y18" s="3">
        <f t="shared" si="23"/>
        <v>0.5</v>
      </c>
      <c r="Z18" s="3">
        <f t="shared" si="24"/>
        <v>11.74</v>
      </c>
      <c r="AA18" s="3">
        <f t="shared" si="25"/>
        <v>0.33600000000000002</v>
      </c>
      <c r="AB18" s="5">
        <f t="shared" si="26"/>
        <v>2.7590399452800001</v>
      </c>
      <c r="AC18" s="8">
        <f t="shared" si="27"/>
        <v>0</v>
      </c>
      <c r="AD18" s="8">
        <f t="shared" si="28"/>
        <v>1.8368970620799996</v>
      </c>
      <c r="AE18" s="8">
        <f t="shared" si="29"/>
        <v>41.057142042857137</v>
      </c>
      <c r="AF18" s="8">
        <f t="shared" si="30"/>
        <v>123.17142612857141</v>
      </c>
      <c r="AG18" s="3">
        <f t="shared" si="31"/>
        <v>0</v>
      </c>
      <c r="AH18" s="3">
        <f t="shared" si="32"/>
        <v>0</v>
      </c>
      <c r="AI18" s="9">
        <f t="shared" si="33"/>
        <v>13</v>
      </c>
      <c r="AJ18" s="3">
        <f t="shared" si="34"/>
        <v>288</v>
      </c>
      <c r="AK18" s="3">
        <f t="shared" si="35"/>
        <v>311.17880378100608</v>
      </c>
      <c r="AL18" s="3">
        <f t="shared" si="36"/>
        <v>0</v>
      </c>
      <c r="AM18" s="3">
        <f t="shared" si="37"/>
        <v>2.8799999999999999E-2</v>
      </c>
      <c r="AN18" s="9">
        <f t="shared" si="38"/>
        <v>0.11590161912110357</v>
      </c>
      <c r="AO18" s="3">
        <f t="shared" si="39"/>
        <v>115901.61912110356</v>
      </c>
      <c r="AP18" s="8">
        <f t="shared" si="40"/>
        <v>42.007952555881289</v>
      </c>
      <c r="AQ18" s="10">
        <f t="shared" si="41"/>
        <v>33.42259994377924</v>
      </c>
      <c r="AR18" s="10">
        <f t="shared" si="42"/>
        <v>100.26779983133774</v>
      </c>
      <c r="AS18" s="8">
        <f t="shared" si="43"/>
        <v>24.939836582515316</v>
      </c>
      <c r="AT18" s="8">
        <f t="shared" si="44"/>
        <v>8.7905850630789466</v>
      </c>
      <c r="AU18" s="8">
        <f t="shared" si="45"/>
        <v>0</v>
      </c>
      <c r="AV18" s="38">
        <f t="shared" si="46"/>
        <v>0.10995095714286407</v>
      </c>
      <c r="AW18" s="38">
        <f t="shared" si="47"/>
        <v>0</v>
      </c>
      <c r="AX18" s="4">
        <f t="shared" si="48"/>
        <v>400</v>
      </c>
      <c r="AY18" s="5">
        <f t="shared" si="49"/>
        <v>3.2456920022533735</v>
      </c>
      <c r="AZ18" s="8">
        <f t="shared" si="50"/>
        <v>515.17765567083813</v>
      </c>
      <c r="BA18" s="8">
        <f t="shared" si="51"/>
        <v>402436.17750383192</v>
      </c>
      <c r="BB18" s="3">
        <f t="shared" si="52"/>
        <v>4024361775.0383191</v>
      </c>
      <c r="BC18" s="5">
        <f t="shared" si="53"/>
        <v>4.0243617750383187</v>
      </c>
      <c r="BD18" s="3">
        <f t="shared" si="54"/>
        <v>0.5</v>
      </c>
      <c r="BE18" s="3">
        <f t="shared" si="55"/>
        <v>11.74</v>
      </c>
      <c r="BF18" s="3">
        <f t="shared" si="56"/>
        <v>0.33600000000000002</v>
      </c>
      <c r="BG18" s="5">
        <f t="shared" si="57"/>
        <v>3.8319999240000002</v>
      </c>
      <c r="BH18" s="8">
        <f t="shared" si="58"/>
        <v>1.0655712743999999</v>
      </c>
      <c r="BI18" s="8">
        <f t="shared" si="59"/>
        <v>2.9098570408000004</v>
      </c>
      <c r="BJ18" s="8">
        <f t="shared" si="60"/>
        <v>57.023808392857141</v>
      </c>
      <c r="BK18" s="8">
        <f t="shared" si="61"/>
        <v>171.07142517857142</v>
      </c>
      <c r="BL18" s="3">
        <f t="shared" si="62"/>
        <v>1</v>
      </c>
      <c r="BM18" s="3">
        <f t="shared" si="63"/>
        <v>0</v>
      </c>
      <c r="BN18" s="9">
        <f t="shared" si="64"/>
        <v>13</v>
      </c>
      <c r="BO18" s="3">
        <f t="shared" si="65"/>
        <v>400</v>
      </c>
      <c r="BP18" s="3">
        <f t="shared" si="66"/>
        <v>311.17880378100608</v>
      </c>
      <c r="BQ18" s="3">
        <f t="shared" si="67"/>
        <v>1.0655712743999999</v>
      </c>
      <c r="BR18" s="3">
        <f t="shared" si="68"/>
        <v>0.04</v>
      </c>
      <c r="BS18" s="9">
        <f t="shared" si="69"/>
        <v>0.16097447100153275</v>
      </c>
      <c r="BT18" s="3">
        <f t="shared" si="70"/>
        <v>160974.47100153274</v>
      </c>
      <c r="BU18" s="8">
        <f t="shared" si="71"/>
        <v>42.007952555881296</v>
      </c>
      <c r="BV18" s="10">
        <f t="shared" si="72"/>
        <v>24.064271959521051</v>
      </c>
      <c r="BW18" s="10">
        <f t="shared" si="73"/>
        <v>72.192815878563152</v>
      </c>
      <c r="BX18" s="8">
        <f t="shared" si="74"/>
        <v>28.859992814262579</v>
      </c>
      <c r="BY18" s="8">
        <f t="shared" si="75"/>
        <v>13.621521690985553</v>
      </c>
      <c r="BZ18" s="8">
        <f t="shared" si="76"/>
        <v>14.514702227530718</v>
      </c>
      <c r="CA18" s="8">
        <f t="shared" si="77"/>
        <v>0</v>
      </c>
      <c r="CB18" s="8">
        <f t="shared" si="78"/>
        <v>0</v>
      </c>
      <c r="CC18" s="8">
        <f>Table4[[#This Row],[sed_del_kg_with_BP]]-Table4[[#This Row],[sed_del_kg_no_drain_BP]]</f>
        <v>14.514702227530718</v>
      </c>
      <c r="CD18" s="8">
        <f>Table4[[#This Row],[Disp_offset_m]]-Table4[[#This Row],[Disp_offset_m31]]</f>
        <v>0.10995095714286407</v>
      </c>
      <c r="CE18" s="8">
        <f>Table4[[#This Row],[Gull_offset_m]]-Table4[[#This Row],[Gull_offset_m32]]</f>
        <v>0</v>
      </c>
    </row>
    <row r="19" spans="1:83" x14ac:dyDescent="0.4">
      <c r="A19" s="21">
        <v>110</v>
      </c>
      <c r="B19" s="21" t="s">
        <v>94</v>
      </c>
      <c r="C19" s="21">
        <v>51.741317000000002</v>
      </c>
      <c r="D19" s="21">
        <v>620328.5</v>
      </c>
      <c r="E19" s="21">
        <v>6082493.2000000002</v>
      </c>
      <c r="F19" s="21">
        <v>763.8</v>
      </c>
      <c r="G19" s="21">
        <v>15</v>
      </c>
      <c r="H19" s="21">
        <v>0</v>
      </c>
      <c r="I19" s="21">
        <v>40.15</v>
      </c>
      <c r="J19" s="21">
        <v>0</v>
      </c>
      <c r="K19" s="21">
        <v>100</v>
      </c>
      <c r="L19" s="21">
        <v>4</v>
      </c>
      <c r="M19" s="21">
        <v>100</v>
      </c>
      <c r="N19" s="21">
        <v>0</v>
      </c>
      <c r="O19" s="35">
        <v>2</v>
      </c>
      <c r="P19" s="21">
        <v>90</v>
      </c>
      <c r="Q19" s="4">
        <v>781.16</v>
      </c>
      <c r="R19" s="4">
        <v>30.899999619999999</v>
      </c>
      <c r="S19" s="4">
        <f t="shared" si="17"/>
        <v>160.6</v>
      </c>
      <c r="T19" s="5">
        <f t="shared" si="18"/>
        <v>3.0375094525380737</v>
      </c>
      <c r="U19" s="8">
        <f t="shared" si="19"/>
        <v>497.54667553544948</v>
      </c>
      <c r="V19" s="8">
        <f t="shared" si="20"/>
        <v>388663.5610612717</v>
      </c>
      <c r="W19" s="3">
        <f t="shared" si="21"/>
        <v>3886635610.6127172</v>
      </c>
      <c r="X19" s="5">
        <f t="shared" si="22"/>
        <v>3.8866356106127173</v>
      </c>
      <c r="Y19" s="3">
        <f t="shared" si="23"/>
        <v>0.5</v>
      </c>
      <c r="Z19" s="3">
        <f t="shared" si="24"/>
        <v>11.74</v>
      </c>
      <c r="AA19" s="3">
        <f t="shared" si="25"/>
        <v>0.33600000000000002</v>
      </c>
      <c r="AB19" s="5">
        <f t="shared" si="26"/>
        <v>1.538547969486</v>
      </c>
      <c r="AC19" s="8">
        <f t="shared" si="27"/>
        <v>0</v>
      </c>
      <c r="AD19" s="8">
        <f t="shared" si="28"/>
        <v>0.37954246868599989</v>
      </c>
      <c r="AE19" s="8">
        <f t="shared" si="29"/>
        <v>22.895059069732142</v>
      </c>
      <c r="AF19" s="8">
        <f t="shared" si="30"/>
        <v>68.685177209196425</v>
      </c>
      <c r="AG19" s="3">
        <f t="shared" si="31"/>
        <v>0</v>
      </c>
      <c r="AH19" s="3">
        <f t="shared" si="32"/>
        <v>0</v>
      </c>
      <c r="AI19" s="9">
        <f t="shared" si="33"/>
        <v>2</v>
      </c>
      <c r="AJ19" s="3">
        <f t="shared" si="34"/>
        <v>160.6</v>
      </c>
      <c r="AK19" s="3">
        <f t="shared" si="35"/>
        <v>2005.7595843490676</v>
      </c>
      <c r="AL19" s="3">
        <f t="shared" si="36"/>
        <v>0</v>
      </c>
      <c r="AM19" s="3">
        <f t="shared" si="37"/>
        <v>1.6059999999999998E-2</v>
      </c>
      <c r="AN19" s="9">
        <f t="shared" si="38"/>
        <v>6.2419367906440232E-2</v>
      </c>
      <c r="AO19" s="3">
        <f t="shared" si="39"/>
        <v>62419.367906440231</v>
      </c>
      <c r="AP19" s="8">
        <f t="shared" si="40"/>
        <v>40.570309892445778</v>
      </c>
      <c r="AQ19" s="10">
        <f t="shared" si="41"/>
        <v>75.331125436875539</v>
      </c>
      <c r="AR19" s="10">
        <f t="shared" si="42"/>
        <v>225.99337631062659</v>
      </c>
      <c r="AS19" s="8">
        <f t="shared" si="43"/>
        <v>12.526807636550743</v>
      </c>
      <c r="AT19" s="8">
        <f t="shared" si="44"/>
        <v>1.1942756431139954</v>
      </c>
      <c r="AU19" s="8">
        <f t="shared" si="45"/>
        <v>0</v>
      </c>
      <c r="AV19" s="38">
        <f t="shared" si="46"/>
        <v>28.846257930267861</v>
      </c>
      <c r="AW19" s="38">
        <f t="shared" si="47"/>
        <v>0</v>
      </c>
      <c r="AX19" s="4">
        <f t="shared" si="48"/>
        <v>400</v>
      </c>
      <c r="AY19" s="5">
        <f t="shared" si="49"/>
        <v>3.0375094525380737</v>
      </c>
      <c r="AZ19" s="8">
        <f t="shared" si="50"/>
        <v>497.54667553544948</v>
      </c>
      <c r="BA19" s="8">
        <f t="shared" si="51"/>
        <v>388663.5610612717</v>
      </c>
      <c r="BB19" s="3">
        <f t="shared" si="52"/>
        <v>3886635610.6127172</v>
      </c>
      <c r="BC19" s="5">
        <f t="shared" si="53"/>
        <v>3.8866356106127173</v>
      </c>
      <c r="BD19" s="3">
        <f t="shared" si="54"/>
        <v>0.5</v>
      </c>
      <c r="BE19" s="3">
        <f t="shared" si="55"/>
        <v>11.74</v>
      </c>
      <c r="BF19" s="3">
        <f t="shared" si="56"/>
        <v>0.33600000000000002</v>
      </c>
      <c r="BG19" s="5">
        <f t="shared" si="57"/>
        <v>3.8319999240000002</v>
      </c>
      <c r="BH19" s="8">
        <f t="shared" si="58"/>
        <v>0.35498342160000007</v>
      </c>
      <c r="BI19" s="8">
        <f t="shared" si="59"/>
        <v>2.6729944231999996</v>
      </c>
      <c r="BJ19" s="8">
        <f t="shared" si="60"/>
        <v>57.023808392857141</v>
      </c>
      <c r="BK19" s="8">
        <f t="shared" si="61"/>
        <v>171.07142517857142</v>
      </c>
      <c r="BL19" s="3">
        <f t="shared" si="62"/>
        <v>0</v>
      </c>
      <c r="BM19" s="3">
        <f t="shared" si="63"/>
        <v>0</v>
      </c>
      <c r="BN19" s="9">
        <f t="shared" si="64"/>
        <v>2</v>
      </c>
      <c r="BO19" s="3">
        <f t="shared" si="65"/>
        <v>400</v>
      </c>
      <c r="BP19" s="3">
        <f t="shared" si="66"/>
        <v>2005.7595843490676</v>
      </c>
      <c r="BQ19" s="3">
        <f t="shared" si="67"/>
        <v>0.35498342160000007</v>
      </c>
      <c r="BR19" s="3">
        <f t="shared" si="68"/>
        <v>0.04</v>
      </c>
      <c r="BS19" s="9">
        <f t="shared" si="69"/>
        <v>0.1554654244245087</v>
      </c>
      <c r="BT19" s="3">
        <f t="shared" si="70"/>
        <v>155465.42442450867</v>
      </c>
      <c r="BU19" s="8">
        <f t="shared" si="71"/>
        <v>40.570309892445778</v>
      </c>
      <c r="BV19" s="10">
        <f t="shared" si="72"/>
        <v>30.245446862905528</v>
      </c>
      <c r="BW19" s="10">
        <f t="shared" si="73"/>
        <v>90.736340588716573</v>
      </c>
      <c r="BX19" s="8">
        <f t="shared" si="74"/>
        <v>25.310201722361121</v>
      </c>
      <c r="BY19" s="8">
        <f t="shared" si="75"/>
        <v>9.8507697808276404</v>
      </c>
      <c r="BZ19" s="8">
        <f t="shared" si="76"/>
        <v>3.4968599621920786</v>
      </c>
      <c r="CA19" s="8">
        <f t="shared" si="77"/>
        <v>0</v>
      </c>
      <c r="CB19" s="8">
        <f t="shared" si="78"/>
        <v>0</v>
      </c>
      <c r="CC19" s="8">
        <f>Table4[[#This Row],[sed_del_kg_with_BP]]-Table4[[#This Row],[sed_del_kg_no_drain_BP]]</f>
        <v>3.4968599621920786</v>
      </c>
      <c r="CD19" s="8">
        <f>Table4[[#This Row],[Disp_offset_m]]-Table4[[#This Row],[Disp_offset_m31]]</f>
        <v>28.846257930267861</v>
      </c>
      <c r="CE19" s="8">
        <f>Table4[[#This Row],[Gull_offset_m]]-Table4[[#This Row],[Gull_offset_m32]]</f>
        <v>0</v>
      </c>
    </row>
    <row r="20" spans="1:83" x14ac:dyDescent="0.4">
      <c r="A20" s="21">
        <v>116</v>
      </c>
      <c r="B20" s="21" t="s">
        <v>94</v>
      </c>
      <c r="C20" s="21">
        <v>47.597133999999997</v>
      </c>
      <c r="D20" s="21">
        <v>620409.59999999998</v>
      </c>
      <c r="E20" s="21">
        <v>6082518.5999999996</v>
      </c>
      <c r="F20" s="21">
        <v>764</v>
      </c>
      <c r="G20" s="21">
        <v>15</v>
      </c>
      <c r="H20" s="21">
        <v>0</v>
      </c>
      <c r="I20" s="21">
        <v>132</v>
      </c>
      <c r="J20" s="21">
        <v>0</v>
      </c>
      <c r="K20" s="21">
        <v>150</v>
      </c>
      <c r="L20" s="21">
        <v>3</v>
      </c>
      <c r="M20" s="21">
        <v>100</v>
      </c>
      <c r="N20" s="21">
        <v>0</v>
      </c>
      <c r="O20" s="35">
        <v>20</v>
      </c>
      <c r="P20" s="21">
        <v>90</v>
      </c>
      <c r="Q20" s="4">
        <v>781.16</v>
      </c>
      <c r="R20" s="4">
        <v>30.899999619999999</v>
      </c>
      <c r="S20" s="4">
        <f t="shared" si="17"/>
        <v>396</v>
      </c>
      <c r="T20" s="5">
        <f t="shared" si="18"/>
        <v>3.0375094525380737</v>
      </c>
      <c r="U20" s="8">
        <f t="shared" si="19"/>
        <v>497.54667553544948</v>
      </c>
      <c r="V20" s="8">
        <f t="shared" si="20"/>
        <v>388663.5610612717</v>
      </c>
      <c r="W20" s="3">
        <f t="shared" si="21"/>
        <v>3886635610.6127172</v>
      </c>
      <c r="X20" s="5">
        <f t="shared" si="22"/>
        <v>3.8866356106127173</v>
      </c>
      <c r="Y20" s="3">
        <f t="shared" si="23"/>
        <v>0.5</v>
      </c>
      <c r="Z20" s="3">
        <f t="shared" si="24"/>
        <v>11.74</v>
      </c>
      <c r="AA20" s="3">
        <f t="shared" si="25"/>
        <v>0.33600000000000002</v>
      </c>
      <c r="AB20" s="5">
        <f t="shared" si="26"/>
        <v>3.7936799247600002</v>
      </c>
      <c r="AC20" s="8">
        <f t="shared" si="27"/>
        <v>0.59515251996000007</v>
      </c>
      <c r="AD20" s="8">
        <f t="shared" si="28"/>
        <v>2.7275041231600001</v>
      </c>
      <c r="AE20" s="8">
        <f t="shared" si="29"/>
        <v>56.453570308928569</v>
      </c>
      <c r="AF20" s="8">
        <f t="shared" si="30"/>
        <v>169.36071092678571</v>
      </c>
      <c r="AG20" s="3">
        <f t="shared" si="31"/>
        <v>1</v>
      </c>
      <c r="AH20" s="3">
        <f t="shared" si="32"/>
        <v>0</v>
      </c>
      <c r="AI20" s="9">
        <f t="shared" si="33"/>
        <v>20</v>
      </c>
      <c r="AJ20" s="3">
        <f t="shared" si="34"/>
        <v>396</v>
      </c>
      <c r="AK20" s="3">
        <f t="shared" si="35"/>
        <v>204.66630801141611</v>
      </c>
      <c r="AL20" s="3">
        <f t="shared" si="36"/>
        <v>0.59515251996000007</v>
      </c>
      <c r="AM20" s="3">
        <f t="shared" si="37"/>
        <v>3.9600000000000003E-2</v>
      </c>
      <c r="AN20" s="9">
        <f t="shared" si="38"/>
        <v>0.15391077018026361</v>
      </c>
      <c r="AO20" s="3">
        <f t="shared" si="39"/>
        <v>153910.77018026361</v>
      </c>
      <c r="AP20" s="8">
        <f t="shared" si="40"/>
        <v>40.570309892445785</v>
      </c>
      <c r="AQ20" s="10">
        <f t="shared" si="41"/>
        <v>28.103999882579693</v>
      </c>
      <c r="AR20" s="10">
        <f t="shared" si="42"/>
        <v>84.311999647739086</v>
      </c>
      <c r="AS20" s="8">
        <f t="shared" si="43"/>
        <v>26.170010492652448</v>
      </c>
      <c r="AT20" s="8">
        <f t="shared" si="44"/>
        <v>10.889176575099002</v>
      </c>
      <c r="AU20" s="8">
        <f t="shared" si="45"/>
        <v>6.4807208789595743</v>
      </c>
      <c r="AV20" s="38">
        <f t="shared" si="46"/>
        <v>0</v>
      </c>
      <c r="AW20" s="38">
        <f t="shared" si="47"/>
        <v>0</v>
      </c>
      <c r="AX20" s="4">
        <f t="shared" si="48"/>
        <v>450</v>
      </c>
      <c r="AY20" s="5">
        <f t="shared" si="49"/>
        <v>3.0375094525380737</v>
      </c>
      <c r="AZ20" s="8">
        <f t="shared" si="50"/>
        <v>497.54667553544948</v>
      </c>
      <c r="BA20" s="8">
        <f t="shared" si="51"/>
        <v>388663.5610612717</v>
      </c>
      <c r="BB20" s="3">
        <f t="shared" si="52"/>
        <v>3886635610.6127172</v>
      </c>
      <c r="BC20" s="5">
        <f t="shared" si="53"/>
        <v>3.8866356106127173</v>
      </c>
      <c r="BD20" s="3">
        <f t="shared" si="54"/>
        <v>0.5</v>
      </c>
      <c r="BE20" s="3">
        <f t="shared" si="55"/>
        <v>11.74</v>
      </c>
      <c r="BF20" s="3">
        <f t="shared" si="56"/>
        <v>0.33600000000000002</v>
      </c>
      <c r="BG20" s="5">
        <f t="shared" si="57"/>
        <v>4.3109999145</v>
      </c>
      <c r="BH20" s="8">
        <f t="shared" si="58"/>
        <v>1.1124725096999999</v>
      </c>
      <c r="BI20" s="8">
        <f t="shared" si="59"/>
        <v>3.2448241128999999</v>
      </c>
      <c r="BJ20" s="8">
        <f t="shared" si="60"/>
        <v>64.151784441964281</v>
      </c>
      <c r="BK20" s="8">
        <f t="shared" si="61"/>
        <v>192.45535332589284</v>
      </c>
      <c r="BL20" s="3">
        <f t="shared" si="62"/>
        <v>1</v>
      </c>
      <c r="BM20" s="3">
        <f t="shared" si="63"/>
        <v>0</v>
      </c>
      <c r="BN20" s="9">
        <f t="shared" si="64"/>
        <v>20</v>
      </c>
      <c r="BO20" s="3">
        <f t="shared" si="65"/>
        <v>450</v>
      </c>
      <c r="BP20" s="3">
        <f t="shared" si="66"/>
        <v>204.66630801141611</v>
      </c>
      <c r="BQ20" s="3">
        <f t="shared" si="67"/>
        <v>1.1124725096999999</v>
      </c>
      <c r="BR20" s="3">
        <f t="shared" si="68"/>
        <v>4.4999999999999998E-2</v>
      </c>
      <c r="BS20" s="9">
        <f t="shared" si="69"/>
        <v>0.17489860247757227</v>
      </c>
      <c r="BT20" s="3">
        <f t="shared" si="70"/>
        <v>174898.60247757228</v>
      </c>
      <c r="BU20" s="8">
        <f t="shared" si="71"/>
        <v>40.570309892445785</v>
      </c>
      <c r="BV20" s="10">
        <f t="shared" si="72"/>
        <v>24.731519896670136</v>
      </c>
      <c r="BW20" s="10">
        <f t="shared" si="73"/>
        <v>74.194559690010408</v>
      </c>
      <c r="BX20" s="8">
        <f t="shared" si="74"/>
        <v>27.583694116731312</v>
      </c>
      <c r="BY20" s="8">
        <f t="shared" si="75"/>
        <v>12.750893970605365</v>
      </c>
      <c r="BZ20" s="8">
        <f t="shared" si="76"/>
        <v>14.185019016397947</v>
      </c>
      <c r="CA20" s="8">
        <f t="shared" si="77"/>
        <v>0</v>
      </c>
      <c r="CB20" s="8">
        <f t="shared" si="78"/>
        <v>0</v>
      </c>
      <c r="CC20" s="8">
        <f>Table4[[#This Row],[sed_del_kg_with_BP]]-Table4[[#This Row],[sed_del_kg_no_drain_BP]]</f>
        <v>7.7042981374383723</v>
      </c>
      <c r="CD20" s="8">
        <f>Table4[[#This Row],[Disp_offset_m]]-Table4[[#This Row],[Disp_offset_m31]]</f>
        <v>0</v>
      </c>
      <c r="CE20" s="8">
        <f>Table4[[#This Row],[Gull_offset_m]]-Table4[[#This Row],[Gull_offset_m32]]</f>
        <v>0</v>
      </c>
    </row>
    <row r="21" spans="1:83" x14ac:dyDescent="0.4">
      <c r="A21" s="21">
        <v>114</v>
      </c>
      <c r="B21" s="21" t="s">
        <v>94</v>
      </c>
      <c r="C21" s="21">
        <v>21.892489000000001</v>
      </c>
      <c r="D21" s="21">
        <v>620386.19999999995</v>
      </c>
      <c r="E21" s="21">
        <v>6082482.4000000004</v>
      </c>
      <c r="F21" s="21">
        <v>764.1</v>
      </c>
      <c r="G21" s="21">
        <v>19</v>
      </c>
      <c r="H21" s="21">
        <v>0</v>
      </c>
      <c r="I21" s="21">
        <v>12.27</v>
      </c>
      <c r="J21" s="21">
        <v>0</v>
      </c>
      <c r="K21" s="21">
        <v>100</v>
      </c>
      <c r="L21" s="21">
        <v>3</v>
      </c>
      <c r="M21" s="21">
        <v>100</v>
      </c>
      <c r="N21" s="21">
        <v>1</v>
      </c>
      <c r="O21" s="35">
        <v>9</v>
      </c>
      <c r="P21" s="21">
        <v>90</v>
      </c>
      <c r="Q21" s="4">
        <v>781.16</v>
      </c>
      <c r="R21" s="4">
        <v>30.899999619999999</v>
      </c>
      <c r="S21" s="4">
        <f t="shared" si="17"/>
        <v>36.81</v>
      </c>
      <c r="T21" s="5">
        <f t="shared" si="18"/>
        <v>3.4412021192905757</v>
      </c>
      <c r="U21" s="8">
        <f t="shared" si="19"/>
        <v>531.73540748271887</v>
      </c>
      <c r="V21" s="8">
        <f t="shared" si="20"/>
        <v>415370.43090920063</v>
      </c>
      <c r="W21" s="3">
        <f t="shared" si="21"/>
        <v>4153704309.0920062</v>
      </c>
      <c r="X21" s="5">
        <f t="shared" si="22"/>
        <v>4.1537043090920065</v>
      </c>
      <c r="Y21" s="3">
        <f t="shared" si="23"/>
        <v>0.5</v>
      </c>
      <c r="Z21" s="3">
        <f t="shared" si="24"/>
        <v>11.74</v>
      </c>
      <c r="AA21" s="3">
        <f t="shared" si="25"/>
        <v>0.33600000000000002</v>
      </c>
      <c r="AB21" s="5">
        <f t="shared" si="26"/>
        <v>0.35263979300610004</v>
      </c>
      <c r="AC21" s="8">
        <f t="shared" si="27"/>
        <v>0</v>
      </c>
      <c r="AD21" s="8">
        <f t="shared" si="28"/>
        <v>0</v>
      </c>
      <c r="AE21" s="8">
        <f t="shared" si="29"/>
        <v>5.2476159673526785</v>
      </c>
      <c r="AF21" s="8">
        <f t="shared" si="30"/>
        <v>15.742847902058035</v>
      </c>
      <c r="AG21" s="3">
        <f t="shared" si="31"/>
        <v>0</v>
      </c>
      <c r="AH21" s="3">
        <f t="shared" si="32"/>
        <v>1</v>
      </c>
      <c r="AI21" s="9">
        <f t="shared" si="33"/>
        <v>9</v>
      </c>
      <c r="AJ21" s="3">
        <f t="shared" si="34"/>
        <v>36.81</v>
      </c>
      <c r="AK21" s="3">
        <f t="shared" si="35"/>
        <v>447.47172550497629</v>
      </c>
      <c r="AL21" s="3">
        <f t="shared" si="36"/>
        <v>0</v>
      </c>
      <c r="AM21" s="3">
        <f t="shared" si="37"/>
        <v>3.6810000000000002E-3</v>
      </c>
      <c r="AN21" s="9">
        <f t="shared" si="38"/>
        <v>1.5289785561767678E-2</v>
      </c>
      <c r="AO21" s="3">
        <f t="shared" si="39"/>
        <v>15289.785561767678</v>
      </c>
      <c r="AP21" s="8">
        <f t="shared" si="40"/>
        <v>43.358083418291912</v>
      </c>
      <c r="AQ21" s="10">
        <f t="shared" si="41"/>
        <v>139.06307890542496</v>
      </c>
      <c r="AR21" s="10">
        <f t="shared" si="42"/>
        <v>417.18923671627476</v>
      </c>
      <c r="AS21" s="8">
        <f t="shared" si="43"/>
        <v>4.9535729467253953</v>
      </c>
      <c r="AT21" s="8">
        <f t="shared" si="44"/>
        <v>6.4656997806178562E-2</v>
      </c>
      <c r="AU21" s="8">
        <f t="shared" si="45"/>
        <v>0</v>
      </c>
      <c r="AV21" s="38">
        <f t="shared" si="46"/>
        <v>16.644873032647322</v>
      </c>
      <c r="AW21" s="38">
        <f t="shared" si="47"/>
        <v>6.1496410979419664</v>
      </c>
      <c r="AX21" s="4">
        <f t="shared" si="48"/>
        <v>300</v>
      </c>
      <c r="AY21" s="5">
        <f t="shared" si="49"/>
        <v>3.4412021192905757</v>
      </c>
      <c r="AZ21" s="8">
        <f t="shared" si="50"/>
        <v>531.73540748271887</v>
      </c>
      <c r="BA21" s="8">
        <f t="shared" si="51"/>
        <v>415370.43090920063</v>
      </c>
      <c r="BB21" s="3">
        <f t="shared" si="52"/>
        <v>4153704309.0920062</v>
      </c>
      <c r="BC21" s="5">
        <f t="shared" si="53"/>
        <v>4.1537043090920065</v>
      </c>
      <c r="BD21" s="3">
        <f t="shared" si="54"/>
        <v>0.5</v>
      </c>
      <c r="BE21" s="3">
        <f t="shared" si="55"/>
        <v>11.74</v>
      </c>
      <c r="BF21" s="3">
        <f t="shared" si="56"/>
        <v>0.33600000000000002</v>
      </c>
      <c r="BG21" s="5">
        <f t="shared" si="57"/>
        <v>2.8739999430000003</v>
      </c>
      <c r="BH21" s="8">
        <f t="shared" si="58"/>
        <v>1.4028246822000001</v>
      </c>
      <c r="BI21" s="8">
        <f t="shared" si="59"/>
        <v>2.3836081894000003</v>
      </c>
      <c r="BJ21" s="8">
        <f t="shared" si="60"/>
        <v>42.767856294642861</v>
      </c>
      <c r="BK21" s="8">
        <f t="shared" si="61"/>
        <v>128.30356888392859</v>
      </c>
      <c r="BL21" s="3">
        <f t="shared" si="62"/>
        <v>0</v>
      </c>
      <c r="BM21" s="3">
        <f t="shared" si="63"/>
        <v>1</v>
      </c>
      <c r="BN21" s="9">
        <f t="shared" si="64"/>
        <v>9</v>
      </c>
      <c r="BO21" s="3">
        <f t="shared" si="65"/>
        <v>300</v>
      </c>
      <c r="BP21" s="3">
        <f t="shared" si="66"/>
        <v>447.47172550497629</v>
      </c>
      <c r="BQ21" s="3">
        <f t="shared" si="67"/>
        <v>2.3836081894000003</v>
      </c>
      <c r="BR21" s="3">
        <f t="shared" si="68"/>
        <v>0.03</v>
      </c>
      <c r="BS21" s="9">
        <f t="shared" si="69"/>
        <v>0.12461112927276019</v>
      </c>
      <c r="BT21" s="3">
        <f t="shared" si="70"/>
        <v>124611.1292727602</v>
      </c>
      <c r="BU21" s="8">
        <f t="shared" si="71"/>
        <v>43.358083418291905</v>
      </c>
      <c r="BV21" s="10">
        <f t="shared" si="72"/>
        <v>17.06303978169564</v>
      </c>
      <c r="BW21" s="10">
        <f t="shared" si="73"/>
        <v>51.189119345086922</v>
      </c>
      <c r="BX21" s="8">
        <f t="shared" si="74"/>
        <v>33.225236873599492</v>
      </c>
      <c r="BY21" s="8">
        <f t="shared" si="75"/>
        <v>19.510307053302004</v>
      </c>
      <c r="BZ21" s="8">
        <f t="shared" si="76"/>
        <v>79.195946706666618</v>
      </c>
      <c r="CA21" s="8">
        <f t="shared" si="77"/>
        <v>0</v>
      </c>
      <c r="CB21" s="8">
        <f t="shared" si="78"/>
        <v>0</v>
      </c>
      <c r="CC21" s="8">
        <f>Table4[[#This Row],[sed_del_kg_with_BP]]-Table4[[#This Row],[sed_del_kg_no_drain_BP]]</f>
        <v>79.195946706666618</v>
      </c>
      <c r="CD21" s="8">
        <f>Table4[[#This Row],[Disp_offset_m]]-Table4[[#This Row],[Disp_offset_m31]]</f>
        <v>16.644873032647322</v>
      </c>
      <c r="CE21" s="8">
        <f>Table4[[#This Row],[Gull_offset_m]]-Table4[[#This Row],[Gull_offset_m32]]</f>
        <v>6.1496410979419664</v>
      </c>
    </row>
    <row r="22" spans="1:83" x14ac:dyDescent="0.4">
      <c r="A22" s="21">
        <v>73</v>
      </c>
      <c r="B22" s="21" t="s">
        <v>94</v>
      </c>
      <c r="C22" s="21">
        <v>91.868313000000001</v>
      </c>
      <c r="D22" s="21">
        <v>619825.4</v>
      </c>
      <c r="E22" s="21">
        <v>6081554.7999999998</v>
      </c>
      <c r="F22" s="21">
        <v>765.3</v>
      </c>
      <c r="G22" s="21">
        <v>14</v>
      </c>
      <c r="H22" s="21">
        <v>0</v>
      </c>
      <c r="I22" s="21">
        <v>43</v>
      </c>
      <c r="J22" s="21">
        <v>0</v>
      </c>
      <c r="K22" s="21">
        <v>100</v>
      </c>
      <c r="L22" s="21">
        <v>3.3</v>
      </c>
      <c r="M22" s="21">
        <v>100</v>
      </c>
      <c r="N22" s="21">
        <v>0</v>
      </c>
      <c r="O22" s="35">
        <v>10</v>
      </c>
      <c r="P22" s="21">
        <v>90</v>
      </c>
      <c r="Q22" s="4">
        <v>781.16</v>
      </c>
      <c r="R22" s="4">
        <v>30.899999619999999</v>
      </c>
      <c r="S22" s="4">
        <f t="shared" si="17"/>
        <v>141.9</v>
      </c>
      <c r="T22" s="5">
        <f t="shared" si="18"/>
        <v>2.9294544238463396</v>
      </c>
      <c r="U22" s="8">
        <f t="shared" si="19"/>
        <v>488.39549515554648</v>
      </c>
      <c r="V22" s="8">
        <f t="shared" si="20"/>
        <v>381515.02499570668</v>
      </c>
      <c r="W22" s="3">
        <f t="shared" si="21"/>
        <v>3815150249.957067</v>
      </c>
      <c r="X22" s="5">
        <f t="shared" si="22"/>
        <v>3.8151502499570671</v>
      </c>
      <c r="Y22" s="3">
        <f t="shared" si="23"/>
        <v>0.5</v>
      </c>
      <c r="Z22" s="3">
        <f t="shared" si="24"/>
        <v>11.74</v>
      </c>
      <c r="AA22" s="3">
        <f t="shared" si="25"/>
        <v>0.33600000000000002</v>
      </c>
      <c r="AB22" s="5">
        <f t="shared" si="26"/>
        <v>1.3594019730390001</v>
      </c>
      <c r="AC22" s="8">
        <f t="shared" si="27"/>
        <v>0</v>
      </c>
      <c r="AD22" s="8">
        <f t="shared" si="28"/>
        <v>0</v>
      </c>
      <c r="AE22" s="8">
        <f t="shared" si="29"/>
        <v>20.229196027366072</v>
      </c>
      <c r="AF22" s="8">
        <f t="shared" si="30"/>
        <v>60.687588082098216</v>
      </c>
      <c r="AG22" s="3">
        <f t="shared" si="31"/>
        <v>0</v>
      </c>
      <c r="AH22" s="3">
        <f t="shared" si="32"/>
        <v>0</v>
      </c>
      <c r="AI22" s="9">
        <f t="shared" si="33"/>
        <v>10</v>
      </c>
      <c r="AJ22" s="3">
        <f t="shared" si="34"/>
        <v>141.9</v>
      </c>
      <c r="AK22" s="3">
        <f t="shared" si="35"/>
        <v>403.1139338200544</v>
      </c>
      <c r="AL22" s="3">
        <f t="shared" si="36"/>
        <v>0</v>
      </c>
      <c r="AM22" s="3">
        <f t="shared" si="37"/>
        <v>1.4190000000000001E-2</v>
      </c>
      <c r="AN22" s="9">
        <f t="shared" si="38"/>
        <v>5.413698204689079E-2</v>
      </c>
      <c r="AO22" s="3">
        <f t="shared" si="39"/>
        <v>54136.982046890793</v>
      </c>
      <c r="AP22" s="8">
        <f t="shared" si="40"/>
        <v>39.824116133850609</v>
      </c>
      <c r="AQ22" s="10">
        <f t="shared" si="41"/>
        <v>151.37908080268485</v>
      </c>
      <c r="AR22" s="10">
        <f t="shared" si="42"/>
        <v>454.13724240805459</v>
      </c>
      <c r="AS22" s="8">
        <f t="shared" si="43"/>
        <v>3.7545145701867986</v>
      </c>
      <c r="AT22" s="8">
        <f t="shared" si="44"/>
        <v>3.3370989984175578E-2</v>
      </c>
      <c r="AU22" s="8">
        <f t="shared" si="45"/>
        <v>0</v>
      </c>
      <c r="AV22" s="38">
        <f t="shared" si="46"/>
        <v>71.639116972633929</v>
      </c>
      <c r="AW22" s="38">
        <f t="shared" si="47"/>
        <v>31.180724917901784</v>
      </c>
      <c r="AX22" s="4">
        <f t="shared" si="48"/>
        <v>330</v>
      </c>
      <c r="AY22" s="5">
        <f t="shared" si="49"/>
        <v>2.9294544238463396</v>
      </c>
      <c r="AZ22" s="8">
        <f t="shared" si="50"/>
        <v>488.39549515554648</v>
      </c>
      <c r="BA22" s="8">
        <f t="shared" si="51"/>
        <v>381515.02499570668</v>
      </c>
      <c r="BB22" s="3">
        <f t="shared" si="52"/>
        <v>3815150249.957067</v>
      </c>
      <c r="BC22" s="5">
        <f t="shared" si="53"/>
        <v>3.8151502499570671</v>
      </c>
      <c r="BD22" s="3">
        <f t="shared" si="54"/>
        <v>0.5</v>
      </c>
      <c r="BE22" s="3">
        <f t="shared" si="55"/>
        <v>11.74</v>
      </c>
      <c r="BF22" s="3">
        <f t="shared" si="56"/>
        <v>0.33600000000000002</v>
      </c>
      <c r="BG22" s="5">
        <f t="shared" si="57"/>
        <v>3.1613999373000001</v>
      </c>
      <c r="BH22" s="8">
        <f t="shared" si="58"/>
        <v>0</v>
      </c>
      <c r="BI22" s="8">
        <f t="shared" si="59"/>
        <v>1.1035497260999998</v>
      </c>
      <c r="BJ22" s="8">
        <f t="shared" si="60"/>
        <v>47.04464192410714</v>
      </c>
      <c r="BK22" s="8">
        <f t="shared" si="61"/>
        <v>141.13392577232142</v>
      </c>
      <c r="BL22" s="3">
        <f t="shared" si="62"/>
        <v>0</v>
      </c>
      <c r="BM22" s="3">
        <f t="shared" si="63"/>
        <v>0</v>
      </c>
      <c r="BN22" s="9">
        <f t="shared" si="64"/>
        <v>10</v>
      </c>
      <c r="BO22" s="3">
        <f t="shared" si="65"/>
        <v>330</v>
      </c>
      <c r="BP22" s="3">
        <f t="shared" si="66"/>
        <v>403.1139338200544</v>
      </c>
      <c r="BQ22" s="3">
        <f t="shared" si="67"/>
        <v>0</v>
      </c>
      <c r="BR22" s="3">
        <f t="shared" si="68"/>
        <v>3.3000000000000002E-2</v>
      </c>
      <c r="BS22" s="9">
        <f t="shared" si="69"/>
        <v>0.12589995824858322</v>
      </c>
      <c r="BT22" s="3">
        <f t="shared" si="70"/>
        <v>125899.95824858322</v>
      </c>
      <c r="BU22" s="8">
        <f t="shared" si="71"/>
        <v>39.824116133850602</v>
      </c>
      <c r="BV22" s="10">
        <f t="shared" si="72"/>
        <v>65.093004745154488</v>
      </c>
      <c r="BW22" s="10">
        <f t="shared" si="73"/>
        <v>195.27901423546348</v>
      </c>
      <c r="BX22" s="8">
        <f t="shared" si="74"/>
        <v>14.425850744940691</v>
      </c>
      <c r="BY22" s="8">
        <f t="shared" si="75"/>
        <v>1.8929189198101868</v>
      </c>
      <c r="BZ22" s="8">
        <f t="shared" si="76"/>
        <v>0</v>
      </c>
      <c r="CA22" s="8">
        <f t="shared" si="77"/>
        <v>44.823671075892861</v>
      </c>
      <c r="CB22" s="8">
        <f t="shared" si="78"/>
        <v>0</v>
      </c>
      <c r="CC22" s="8">
        <f>Table4[[#This Row],[sed_del_kg_with_BP]]-Table4[[#This Row],[sed_del_kg_no_drain_BP]]</f>
        <v>0</v>
      </c>
      <c r="CD22" s="8">
        <f>Table4[[#This Row],[Disp_offset_m]]-Table4[[#This Row],[Disp_offset_m31]]</f>
        <v>26.815445896741068</v>
      </c>
      <c r="CE22" s="8">
        <f>Table4[[#This Row],[Gull_offset_m]]-Table4[[#This Row],[Gull_offset_m32]]</f>
        <v>31.180724917901784</v>
      </c>
    </row>
    <row r="23" spans="1:83" x14ac:dyDescent="0.4">
      <c r="A23" s="21">
        <v>125</v>
      </c>
      <c r="B23" s="21" t="s">
        <v>94</v>
      </c>
      <c r="C23" s="21">
        <v>56.239874999999998</v>
      </c>
      <c r="D23" s="21">
        <v>620619.9</v>
      </c>
      <c r="E23" s="21">
        <v>6082655.5</v>
      </c>
      <c r="F23" s="21">
        <v>769</v>
      </c>
      <c r="G23" s="21">
        <v>14</v>
      </c>
      <c r="H23" s="21">
        <v>0</v>
      </c>
      <c r="I23" s="21">
        <v>57</v>
      </c>
      <c r="J23" s="21">
        <v>0</v>
      </c>
      <c r="K23" s="21">
        <v>100</v>
      </c>
      <c r="L23" s="21">
        <v>3.4</v>
      </c>
      <c r="M23" s="21">
        <v>100</v>
      </c>
      <c r="N23" s="21">
        <v>0</v>
      </c>
      <c r="O23" s="35">
        <v>4</v>
      </c>
      <c r="P23" s="21">
        <v>90</v>
      </c>
      <c r="Q23" s="4">
        <v>781.16</v>
      </c>
      <c r="R23" s="4">
        <v>30.899999619999999</v>
      </c>
      <c r="S23" s="4">
        <f t="shared" si="17"/>
        <v>193.79999999999998</v>
      </c>
      <c r="T23" s="5">
        <f t="shared" si="18"/>
        <v>2.9294544238463396</v>
      </c>
      <c r="U23" s="8">
        <f t="shared" si="19"/>
        <v>488.39549515554648</v>
      </c>
      <c r="V23" s="8">
        <f t="shared" si="20"/>
        <v>381515.02499570668</v>
      </c>
      <c r="W23" s="3">
        <f t="shared" si="21"/>
        <v>3815150249.957067</v>
      </c>
      <c r="X23" s="5">
        <f t="shared" si="22"/>
        <v>3.8151502499570671</v>
      </c>
      <c r="Y23" s="3">
        <f t="shared" si="23"/>
        <v>0.5</v>
      </c>
      <c r="Z23" s="3">
        <f t="shared" si="24"/>
        <v>11.74</v>
      </c>
      <c r="AA23" s="3">
        <f t="shared" si="25"/>
        <v>0.33600000000000002</v>
      </c>
      <c r="AB23" s="5">
        <f t="shared" si="26"/>
        <v>1.856603963178</v>
      </c>
      <c r="AC23" s="8">
        <f t="shared" si="27"/>
        <v>0</v>
      </c>
      <c r="AD23" s="8">
        <f t="shared" si="28"/>
        <v>0.59683076317799988</v>
      </c>
      <c r="AE23" s="8">
        <f t="shared" si="29"/>
        <v>27.628035166339284</v>
      </c>
      <c r="AF23" s="8">
        <f t="shared" si="30"/>
        <v>82.884105499017849</v>
      </c>
      <c r="AG23" s="3">
        <f t="shared" si="31"/>
        <v>0</v>
      </c>
      <c r="AH23" s="3">
        <f t="shared" si="32"/>
        <v>0</v>
      </c>
      <c r="AI23" s="9">
        <f t="shared" si="33"/>
        <v>4</v>
      </c>
      <c r="AJ23" s="3">
        <f t="shared" si="34"/>
        <v>193.79999999999998</v>
      </c>
      <c r="AK23" s="3">
        <f t="shared" si="35"/>
        <v>1003.4910918342573</v>
      </c>
      <c r="AL23" s="3">
        <f t="shared" si="36"/>
        <v>0</v>
      </c>
      <c r="AM23" s="3">
        <f t="shared" si="37"/>
        <v>1.9379999999999998E-2</v>
      </c>
      <c r="AN23" s="9">
        <f t="shared" si="38"/>
        <v>7.3937611844167958E-2</v>
      </c>
      <c r="AO23" s="3">
        <f t="shared" si="39"/>
        <v>73937.611844167957</v>
      </c>
      <c r="AP23" s="8">
        <f t="shared" si="40"/>
        <v>39.824116133850602</v>
      </c>
      <c r="AQ23" s="10">
        <f t="shared" si="41"/>
        <v>67.853630875785257</v>
      </c>
      <c r="AR23" s="10">
        <f t="shared" si="42"/>
        <v>203.56089262735571</v>
      </c>
      <c r="AS23" s="8">
        <f t="shared" si="43"/>
        <v>13.817777947485602</v>
      </c>
      <c r="AT23" s="8">
        <f t="shared" si="44"/>
        <v>1.6634982039787185</v>
      </c>
      <c r="AU23" s="8">
        <f t="shared" si="45"/>
        <v>0</v>
      </c>
      <c r="AV23" s="38">
        <f t="shared" si="46"/>
        <v>28.611839833660714</v>
      </c>
      <c r="AW23" s="38">
        <f t="shared" si="47"/>
        <v>0</v>
      </c>
      <c r="AX23" s="4">
        <f t="shared" si="48"/>
        <v>340</v>
      </c>
      <c r="AY23" s="5">
        <f t="shared" si="49"/>
        <v>2.9294544238463396</v>
      </c>
      <c r="AZ23" s="8">
        <f t="shared" si="50"/>
        <v>488.39549515554648</v>
      </c>
      <c r="BA23" s="8">
        <f t="shared" si="51"/>
        <v>381515.02499570668</v>
      </c>
      <c r="BB23" s="3">
        <f t="shared" si="52"/>
        <v>3815150249.957067</v>
      </c>
      <c r="BC23" s="5">
        <f t="shared" si="53"/>
        <v>3.8151502499570671</v>
      </c>
      <c r="BD23" s="3">
        <f t="shared" si="54"/>
        <v>0.5</v>
      </c>
      <c r="BE23" s="3">
        <f t="shared" si="55"/>
        <v>11.74</v>
      </c>
      <c r="BF23" s="3">
        <f t="shared" si="56"/>
        <v>0.33600000000000002</v>
      </c>
      <c r="BG23" s="5">
        <f t="shared" si="57"/>
        <v>3.2571999354000001</v>
      </c>
      <c r="BH23" s="8">
        <f t="shared" si="58"/>
        <v>0</v>
      </c>
      <c r="BI23" s="8">
        <f t="shared" si="59"/>
        <v>1.9974267353999999</v>
      </c>
      <c r="BJ23" s="8">
        <f t="shared" si="60"/>
        <v>48.47023713392857</v>
      </c>
      <c r="BK23" s="8">
        <f t="shared" si="61"/>
        <v>145.4107114017857</v>
      </c>
      <c r="BL23" s="3">
        <f t="shared" si="62"/>
        <v>0</v>
      </c>
      <c r="BM23" s="3">
        <f t="shared" si="63"/>
        <v>0</v>
      </c>
      <c r="BN23" s="9">
        <f t="shared" si="64"/>
        <v>4</v>
      </c>
      <c r="BO23" s="3">
        <f t="shared" si="65"/>
        <v>340</v>
      </c>
      <c r="BP23" s="3">
        <f t="shared" si="66"/>
        <v>1003.4910918342573</v>
      </c>
      <c r="BQ23" s="3">
        <f t="shared" si="67"/>
        <v>0</v>
      </c>
      <c r="BR23" s="3">
        <f t="shared" si="68"/>
        <v>3.4000000000000002E-2</v>
      </c>
      <c r="BS23" s="9">
        <f t="shared" si="69"/>
        <v>0.12971510849854029</v>
      </c>
      <c r="BT23" s="3">
        <f t="shared" si="70"/>
        <v>129715.10849854027</v>
      </c>
      <c r="BU23" s="8">
        <f t="shared" si="71"/>
        <v>39.824116133850602</v>
      </c>
      <c r="BV23" s="10">
        <f t="shared" si="72"/>
        <v>38.676569599197592</v>
      </c>
      <c r="BW23" s="10">
        <f t="shared" si="73"/>
        <v>116.02970879759278</v>
      </c>
      <c r="BX23" s="8">
        <f t="shared" si="74"/>
        <v>21.782745728192399</v>
      </c>
      <c r="BY23" s="8">
        <f t="shared" si="75"/>
        <v>6.5169677878894126</v>
      </c>
      <c r="BZ23" s="8">
        <f t="shared" si="76"/>
        <v>0</v>
      </c>
      <c r="CA23" s="8">
        <f t="shared" si="77"/>
        <v>7.7696378660714274</v>
      </c>
      <c r="CB23" s="8">
        <f t="shared" si="78"/>
        <v>0</v>
      </c>
      <c r="CC23" s="8">
        <f>Table4[[#This Row],[sed_del_kg_with_BP]]-Table4[[#This Row],[sed_del_kg_no_drain_BP]]</f>
        <v>0</v>
      </c>
      <c r="CD23" s="8">
        <f>Table4[[#This Row],[Disp_offset_m]]-Table4[[#This Row],[Disp_offset_m31]]</f>
        <v>20.842201967589286</v>
      </c>
      <c r="CE23" s="8">
        <f>Table4[[#This Row],[Gull_offset_m]]-Table4[[#This Row],[Gull_offset_m32]]</f>
        <v>0</v>
      </c>
    </row>
    <row r="24" spans="1:83" x14ac:dyDescent="0.4">
      <c r="A24" s="21">
        <v>109</v>
      </c>
      <c r="B24" s="21" t="s">
        <v>94</v>
      </c>
      <c r="C24" s="21">
        <v>49.578721000000002</v>
      </c>
      <c r="D24" s="21">
        <v>620304.4</v>
      </c>
      <c r="E24" s="21">
        <v>6082461.0999999996</v>
      </c>
      <c r="F24" s="21">
        <v>771</v>
      </c>
      <c r="G24" s="21">
        <v>17</v>
      </c>
      <c r="H24" s="21">
        <v>0</v>
      </c>
      <c r="I24" s="21">
        <v>39.200000000000003</v>
      </c>
      <c r="J24" s="21">
        <v>0</v>
      </c>
      <c r="K24" s="21">
        <v>100</v>
      </c>
      <c r="L24" s="21">
        <v>3.7</v>
      </c>
      <c r="M24" s="21">
        <v>100</v>
      </c>
      <c r="N24" s="21">
        <v>0</v>
      </c>
      <c r="O24" s="35">
        <v>11</v>
      </c>
      <c r="P24" s="21">
        <v>90</v>
      </c>
      <c r="Q24" s="4">
        <v>781.16</v>
      </c>
      <c r="R24" s="4">
        <v>30.899999619999999</v>
      </c>
      <c r="S24" s="4">
        <f t="shared" si="17"/>
        <v>145.04000000000002</v>
      </c>
      <c r="T24" s="5">
        <f t="shared" si="18"/>
        <v>3.2456920022533735</v>
      </c>
      <c r="U24" s="8">
        <f t="shared" si="19"/>
        <v>515.17765567083813</v>
      </c>
      <c r="V24" s="8">
        <f t="shared" si="20"/>
        <v>402436.17750383192</v>
      </c>
      <c r="W24" s="3">
        <f t="shared" si="21"/>
        <v>4024361775.0383191</v>
      </c>
      <c r="X24" s="5">
        <f t="shared" si="22"/>
        <v>4.0243617750383187</v>
      </c>
      <c r="Y24" s="3">
        <f t="shared" si="23"/>
        <v>0.5</v>
      </c>
      <c r="Z24" s="3">
        <f t="shared" si="24"/>
        <v>11.74</v>
      </c>
      <c r="AA24" s="3">
        <f t="shared" si="25"/>
        <v>0.33600000000000002</v>
      </c>
      <c r="AB24" s="5">
        <f t="shared" si="26"/>
        <v>1.3894831724424002</v>
      </c>
      <c r="AC24" s="8">
        <f t="shared" si="27"/>
        <v>0</v>
      </c>
      <c r="AD24" s="8">
        <f t="shared" si="28"/>
        <v>0.27891982204239996</v>
      </c>
      <c r="AE24" s="8">
        <f t="shared" si="29"/>
        <v>20.67683292325</v>
      </c>
      <c r="AF24" s="8">
        <f t="shared" si="30"/>
        <v>62.030498769749997</v>
      </c>
      <c r="AG24" s="3">
        <f t="shared" si="31"/>
        <v>0</v>
      </c>
      <c r="AH24" s="3">
        <f t="shared" si="32"/>
        <v>0</v>
      </c>
      <c r="AI24" s="9">
        <f t="shared" si="33"/>
        <v>11</v>
      </c>
      <c r="AJ24" s="3">
        <f t="shared" si="34"/>
        <v>145.04000000000002</v>
      </c>
      <c r="AK24" s="3">
        <f t="shared" si="35"/>
        <v>366.85901449174941</v>
      </c>
      <c r="AL24" s="3">
        <f t="shared" si="36"/>
        <v>0</v>
      </c>
      <c r="AM24" s="3">
        <f t="shared" si="37"/>
        <v>1.4504000000000001E-2</v>
      </c>
      <c r="AN24" s="9">
        <f t="shared" si="38"/>
        <v>5.8369343185155777E-2</v>
      </c>
      <c r="AO24" s="3">
        <f t="shared" si="39"/>
        <v>58369.343185155776</v>
      </c>
      <c r="AP24" s="8">
        <f t="shared" si="40"/>
        <v>42.007952555881296</v>
      </c>
      <c r="AQ24" s="10">
        <f t="shared" si="41"/>
        <v>79.926362004649448</v>
      </c>
      <c r="AR24" s="10">
        <f t="shared" si="42"/>
        <v>239.77908601394833</v>
      </c>
      <c r="AS24" s="8">
        <f t="shared" si="43"/>
        <v>12.073436390158653</v>
      </c>
      <c r="AT24" s="8">
        <f t="shared" si="44"/>
        <v>0.99730883281095806</v>
      </c>
      <c r="AU24" s="8">
        <f t="shared" si="45"/>
        <v>0</v>
      </c>
      <c r="AV24" s="38">
        <f t="shared" si="46"/>
        <v>28.901888076750001</v>
      </c>
      <c r="AW24" s="38">
        <f t="shared" si="47"/>
        <v>0</v>
      </c>
      <c r="AX24" s="4">
        <f t="shared" si="48"/>
        <v>370</v>
      </c>
      <c r="AY24" s="5">
        <f t="shared" si="49"/>
        <v>3.2456920022533735</v>
      </c>
      <c r="AZ24" s="8">
        <f t="shared" si="50"/>
        <v>515.17765567083813</v>
      </c>
      <c r="BA24" s="8">
        <f t="shared" si="51"/>
        <v>402436.17750383192</v>
      </c>
      <c r="BB24" s="3">
        <f t="shared" si="52"/>
        <v>4024361775.0383191</v>
      </c>
      <c r="BC24" s="5">
        <f t="shared" si="53"/>
        <v>4.0243617750383187</v>
      </c>
      <c r="BD24" s="3">
        <f t="shared" si="54"/>
        <v>0.5</v>
      </c>
      <c r="BE24" s="3">
        <f t="shared" si="55"/>
        <v>11.74</v>
      </c>
      <c r="BF24" s="3">
        <f t="shared" si="56"/>
        <v>0.33600000000000002</v>
      </c>
      <c r="BG24" s="5">
        <f t="shared" si="57"/>
        <v>3.5445999297000004</v>
      </c>
      <c r="BH24" s="8">
        <f t="shared" si="58"/>
        <v>0.21290987850000009</v>
      </c>
      <c r="BI24" s="8">
        <f t="shared" si="59"/>
        <v>2.4340365793000003</v>
      </c>
      <c r="BJ24" s="8">
        <f t="shared" si="60"/>
        <v>52.747022763392856</v>
      </c>
      <c r="BK24" s="8">
        <f t="shared" si="61"/>
        <v>158.24106829017856</v>
      </c>
      <c r="BL24" s="3">
        <f t="shared" si="62"/>
        <v>1</v>
      </c>
      <c r="BM24" s="3">
        <f t="shared" si="63"/>
        <v>0</v>
      </c>
      <c r="BN24" s="9">
        <f t="shared" si="64"/>
        <v>11</v>
      </c>
      <c r="BO24" s="3">
        <f t="shared" si="65"/>
        <v>370</v>
      </c>
      <c r="BP24" s="3">
        <f t="shared" si="66"/>
        <v>366.85901449174941</v>
      </c>
      <c r="BQ24" s="3">
        <f t="shared" si="67"/>
        <v>0.21290987850000009</v>
      </c>
      <c r="BR24" s="3">
        <f t="shared" si="68"/>
        <v>3.6999999999999998E-2</v>
      </c>
      <c r="BS24" s="9">
        <f t="shared" si="69"/>
        <v>0.14890138567641778</v>
      </c>
      <c r="BT24" s="3">
        <f t="shared" si="70"/>
        <v>148901.38567641779</v>
      </c>
      <c r="BU24" s="8">
        <f t="shared" si="71"/>
        <v>42.007952555881296</v>
      </c>
      <c r="BV24" s="10">
        <f t="shared" si="72"/>
        <v>31.331133905822583</v>
      </c>
      <c r="BW24" s="10">
        <f t="shared" si="73"/>
        <v>93.993401717467734</v>
      </c>
      <c r="BX24" s="8">
        <f t="shared" si="74"/>
        <v>25.766965331687995</v>
      </c>
      <c r="BY24" s="8">
        <f t="shared" si="75"/>
        <v>9.6945306903804678</v>
      </c>
      <c r="BZ24" s="8">
        <f t="shared" si="76"/>
        <v>2.0640613514034274</v>
      </c>
      <c r="CA24" s="8">
        <f t="shared" si="77"/>
        <v>0</v>
      </c>
      <c r="CB24" s="8">
        <f t="shared" si="78"/>
        <v>0</v>
      </c>
      <c r="CC24" s="8">
        <f>Table4[[#This Row],[sed_del_kg_with_BP]]-Table4[[#This Row],[sed_del_kg_no_drain_BP]]</f>
        <v>2.0640613514034274</v>
      </c>
      <c r="CD24" s="8">
        <f>Table4[[#This Row],[Disp_offset_m]]-Table4[[#This Row],[Disp_offset_m31]]</f>
        <v>28.901888076750001</v>
      </c>
      <c r="CE24" s="8">
        <f>Table4[[#This Row],[Gull_offset_m]]-Table4[[#This Row],[Gull_offset_m32]]</f>
        <v>0</v>
      </c>
    </row>
    <row r="25" spans="1:83" x14ac:dyDescent="0.4">
      <c r="A25" s="21">
        <v>74</v>
      </c>
      <c r="B25" s="21" t="s">
        <v>94</v>
      </c>
      <c r="C25" s="21">
        <v>56.854332999999997</v>
      </c>
      <c r="D25" s="21">
        <v>619840.80000000005</v>
      </c>
      <c r="E25" s="21">
        <v>6081595.2999999998</v>
      </c>
      <c r="F25" s="21">
        <v>773.6</v>
      </c>
      <c r="G25" s="21">
        <v>19</v>
      </c>
      <c r="H25" s="21">
        <v>0</v>
      </c>
      <c r="I25" s="21">
        <v>19.97</v>
      </c>
      <c r="J25" s="21">
        <v>0</v>
      </c>
      <c r="K25" s="21">
        <v>100</v>
      </c>
      <c r="L25" s="21">
        <v>3.6</v>
      </c>
      <c r="M25" s="21">
        <v>100</v>
      </c>
      <c r="N25" s="21">
        <v>0</v>
      </c>
      <c r="O25" s="35">
        <v>18</v>
      </c>
      <c r="P25" s="21">
        <v>90</v>
      </c>
      <c r="Q25" s="4">
        <v>781.16</v>
      </c>
      <c r="R25" s="4">
        <v>30.899999619999999</v>
      </c>
      <c r="S25" s="4">
        <f t="shared" si="17"/>
        <v>71.891999999999996</v>
      </c>
      <c r="T25" s="5">
        <f t="shared" si="18"/>
        <v>3.4412021192905757</v>
      </c>
      <c r="U25" s="8">
        <f t="shared" si="19"/>
        <v>531.73540748271887</v>
      </c>
      <c r="V25" s="8">
        <f t="shared" si="20"/>
        <v>415370.43090920063</v>
      </c>
      <c r="W25" s="3">
        <f t="shared" si="21"/>
        <v>4153704309.0920062</v>
      </c>
      <c r="X25" s="5">
        <f t="shared" si="22"/>
        <v>4.1537043090920065</v>
      </c>
      <c r="Y25" s="3">
        <f t="shared" si="23"/>
        <v>0.5</v>
      </c>
      <c r="Z25" s="3">
        <f t="shared" si="24"/>
        <v>11.74</v>
      </c>
      <c r="AA25" s="3">
        <f t="shared" si="25"/>
        <v>0.33600000000000002</v>
      </c>
      <c r="AB25" s="5">
        <f t="shared" si="26"/>
        <v>0.68872534634051996</v>
      </c>
      <c r="AC25" s="8">
        <f t="shared" si="27"/>
        <v>0</v>
      </c>
      <c r="AD25" s="8">
        <f t="shared" si="28"/>
        <v>0</v>
      </c>
      <c r="AE25" s="8">
        <f t="shared" si="29"/>
        <v>10.248889082448214</v>
      </c>
      <c r="AF25" s="8">
        <f t="shared" si="30"/>
        <v>30.746667247344639</v>
      </c>
      <c r="AG25" s="3">
        <f t="shared" si="31"/>
        <v>0</v>
      </c>
      <c r="AH25" s="3">
        <f t="shared" si="32"/>
        <v>0</v>
      </c>
      <c r="AI25" s="9">
        <f t="shared" si="33"/>
        <v>18</v>
      </c>
      <c r="AJ25" s="3">
        <f t="shared" si="34"/>
        <v>71.891999999999996</v>
      </c>
      <c r="AK25" s="3">
        <f t="shared" si="35"/>
        <v>226.52475842498529</v>
      </c>
      <c r="AL25" s="3">
        <f t="shared" si="36"/>
        <v>0</v>
      </c>
      <c r="AM25" s="3">
        <f t="shared" si="37"/>
        <v>7.1891999999999998E-3</v>
      </c>
      <c r="AN25" s="9">
        <f t="shared" si="38"/>
        <v>2.9861811018924253E-2</v>
      </c>
      <c r="AO25" s="3">
        <f t="shared" si="39"/>
        <v>29861.811018924254</v>
      </c>
      <c r="AP25" s="8">
        <f t="shared" si="40"/>
        <v>43.358083418291912</v>
      </c>
      <c r="AQ25" s="10">
        <f t="shared" si="41"/>
        <v>184.91218102641704</v>
      </c>
      <c r="AR25" s="10">
        <f t="shared" si="42"/>
        <v>554.73654307925108</v>
      </c>
      <c r="AS25" s="8">
        <f t="shared" si="43"/>
        <v>2.4226527816016241</v>
      </c>
      <c r="AT25" s="8">
        <f t="shared" si="44"/>
        <v>7.5636839123123167E-3</v>
      </c>
      <c r="AU25" s="8">
        <f t="shared" si="45"/>
        <v>0</v>
      </c>
      <c r="AV25" s="38">
        <f t="shared" si="46"/>
        <v>46.605443917551781</v>
      </c>
      <c r="AW25" s="38">
        <f t="shared" si="47"/>
        <v>26.107665752655357</v>
      </c>
      <c r="AX25" s="4">
        <f t="shared" si="48"/>
        <v>360</v>
      </c>
      <c r="AY25" s="5">
        <f t="shared" si="49"/>
        <v>3.4412021192905757</v>
      </c>
      <c r="AZ25" s="8">
        <f t="shared" si="50"/>
        <v>531.73540748271887</v>
      </c>
      <c r="BA25" s="8">
        <f t="shared" si="51"/>
        <v>415370.43090920063</v>
      </c>
      <c r="BB25" s="3">
        <f t="shared" si="52"/>
        <v>4153704309.0920062</v>
      </c>
      <c r="BC25" s="5">
        <f t="shared" si="53"/>
        <v>4.1537043090920065</v>
      </c>
      <c r="BD25" s="3">
        <f t="shared" si="54"/>
        <v>0.5</v>
      </c>
      <c r="BE25" s="3">
        <f t="shared" si="55"/>
        <v>11.74</v>
      </c>
      <c r="BF25" s="3">
        <f t="shared" si="56"/>
        <v>0.33600000000000002</v>
      </c>
      <c r="BG25" s="5">
        <f t="shared" si="57"/>
        <v>3.4487999316</v>
      </c>
      <c r="BH25" s="8">
        <f t="shared" si="58"/>
        <v>0</v>
      </c>
      <c r="BI25" s="8">
        <f t="shared" si="59"/>
        <v>2.1752628723999998</v>
      </c>
      <c r="BJ25" s="8">
        <f t="shared" si="60"/>
        <v>51.321427553571425</v>
      </c>
      <c r="BK25" s="8">
        <f t="shared" si="61"/>
        <v>153.96428266071428</v>
      </c>
      <c r="BL25" s="3">
        <f t="shared" si="62"/>
        <v>1</v>
      </c>
      <c r="BM25" s="3">
        <f t="shared" si="63"/>
        <v>0</v>
      </c>
      <c r="BN25" s="9">
        <f t="shared" si="64"/>
        <v>18</v>
      </c>
      <c r="BO25" s="3">
        <f t="shared" si="65"/>
        <v>360</v>
      </c>
      <c r="BP25" s="3">
        <f t="shared" si="66"/>
        <v>226.52475842498529</v>
      </c>
      <c r="BQ25" s="3">
        <f t="shared" si="67"/>
        <v>0</v>
      </c>
      <c r="BR25" s="3">
        <f t="shared" si="68"/>
        <v>3.5999999999999997E-2</v>
      </c>
      <c r="BS25" s="9">
        <f t="shared" si="69"/>
        <v>0.14953335512731222</v>
      </c>
      <c r="BT25" s="3">
        <f t="shared" si="70"/>
        <v>149533.35512731224</v>
      </c>
      <c r="BU25" s="8">
        <f t="shared" si="71"/>
        <v>43.358083418291912</v>
      </c>
      <c r="BV25" s="10">
        <f t="shared" si="72"/>
        <v>36.926962550975482</v>
      </c>
      <c r="BW25" s="10">
        <f t="shared" si="73"/>
        <v>110.78088765292644</v>
      </c>
      <c r="BX25" s="8">
        <f t="shared" si="74"/>
        <v>24.371941662406051</v>
      </c>
      <c r="BY25" s="8">
        <f t="shared" si="75"/>
        <v>7.7007005647893303</v>
      </c>
      <c r="BZ25" s="8">
        <f t="shared" si="76"/>
        <v>0</v>
      </c>
      <c r="CA25" s="8">
        <f t="shared" si="77"/>
        <v>5.5329054464285718</v>
      </c>
      <c r="CB25" s="8">
        <f t="shared" si="78"/>
        <v>0</v>
      </c>
      <c r="CC25" s="8">
        <f>Table4[[#This Row],[sed_del_kg_with_BP]]-Table4[[#This Row],[sed_del_kg_no_drain_BP]]</f>
        <v>0</v>
      </c>
      <c r="CD25" s="8">
        <f>Table4[[#This Row],[Disp_offset_m]]-Table4[[#This Row],[Disp_offset_m31]]</f>
        <v>41.07253847112321</v>
      </c>
      <c r="CE25" s="8">
        <f>Table4[[#This Row],[Gull_offset_m]]-Table4[[#This Row],[Gull_offset_m32]]</f>
        <v>26.107665752655357</v>
      </c>
    </row>
    <row r="26" spans="1:83" x14ac:dyDescent="0.4">
      <c r="A26" s="21">
        <v>126</v>
      </c>
      <c r="B26" s="21" t="s">
        <v>94</v>
      </c>
      <c r="C26" s="21">
        <v>56.864032999999999</v>
      </c>
      <c r="D26" s="21">
        <v>620662.19999999995</v>
      </c>
      <c r="E26" s="21">
        <v>6082617.4000000004</v>
      </c>
      <c r="F26" s="21">
        <v>776.6</v>
      </c>
      <c r="G26" s="21">
        <v>11</v>
      </c>
      <c r="H26" s="21">
        <v>0</v>
      </c>
      <c r="I26" s="21">
        <v>69</v>
      </c>
      <c r="J26" s="21">
        <v>0</v>
      </c>
      <c r="K26" s="21">
        <v>100</v>
      </c>
      <c r="L26" s="21">
        <v>2.9</v>
      </c>
      <c r="M26" s="21">
        <v>100</v>
      </c>
      <c r="N26" s="21">
        <v>1</v>
      </c>
      <c r="O26" s="35">
        <v>8</v>
      </c>
      <c r="P26" s="21">
        <v>90</v>
      </c>
      <c r="Q26" s="4">
        <v>781.16</v>
      </c>
      <c r="R26" s="4">
        <v>30.899999619999999</v>
      </c>
      <c r="S26" s="4">
        <f t="shared" si="17"/>
        <v>200.1</v>
      </c>
      <c r="T26" s="5">
        <f t="shared" si="18"/>
        <v>2.5942500198766076</v>
      </c>
      <c r="U26" s="8">
        <f t="shared" si="19"/>
        <v>460.0070341833499</v>
      </c>
      <c r="V26" s="8">
        <f t="shared" si="20"/>
        <v>359339.09482266562</v>
      </c>
      <c r="W26" s="3">
        <f t="shared" si="21"/>
        <v>3593390948.226656</v>
      </c>
      <c r="X26" s="5">
        <f t="shared" si="22"/>
        <v>3.5933909482266562</v>
      </c>
      <c r="Y26" s="3">
        <f t="shared" si="23"/>
        <v>0.5</v>
      </c>
      <c r="Z26" s="3">
        <f t="shared" si="24"/>
        <v>11.74</v>
      </c>
      <c r="AA26" s="3">
        <f t="shared" si="25"/>
        <v>0.33600000000000002</v>
      </c>
      <c r="AB26" s="5">
        <f t="shared" si="26"/>
        <v>1.916957961981</v>
      </c>
      <c r="AC26" s="8">
        <f t="shared" si="27"/>
        <v>0</v>
      </c>
      <c r="AD26" s="8">
        <f t="shared" si="28"/>
        <v>0.64320362278099996</v>
      </c>
      <c r="AE26" s="8">
        <f t="shared" si="29"/>
        <v>28.526160148526785</v>
      </c>
      <c r="AF26" s="8">
        <f t="shared" si="30"/>
        <v>85.578480445580354</v>
      </c>
      <c r="AG26" s="3">
        <f t="shared" si="31"/>
        <v>0</v>
      </c>
      <c r="AH26" s="3">
        <f t="shared" si="32"/>
        <v>1</v>
      </c>
      <c r="AI26" s="9">
        <f t="shared" si="33"/>
        <v>8</v>
      </c>
      <c r="AJ26" s="3">
        <f t="shared" si="34"/>
        <v>200.1</v>
      </c>
      <c r="AK26" s="3">
        <f t="shared" si="35"/>
        <v>502.97075740294036</v>
      </c>
      <c r="AL26" s="3">
        <f t="shared" si="36"/>
        <v>0.64320362278099996</v>
      </c>
      <c r="AM26" s="3">
        <f t="shared" si="37"/>
        <v>2.001E-2</v>
      </c>
      <c r="AN26" s="9">
        <f t="shared" si="38"/>
        <v>7.1903752874015389E-2</v>
      </c>
      <c r="AO26" s="3">
        <f t="shared" si="39"/>
        <v>71903.752874015394</v>
      </c>
      <c r="AP26" s="8">
        <f t="shared" si="40"/>
        <v>37.509300829794654</v>
      </c>
      <c r="AQ26" s="10">
        <f t="shared" si="41"/>
        <v>66.446649559476612</v>
      </c>
      <c r="AR26" s="10">
        <f t="shared" si="42"/>
        <v>199.33994867842983</v>
      </c>
      <c r="AS26" s="8">
        <f t="shared" si="43"/>
        <v>13.303420614547393</v>
      </c>
      <c r="AT26" s="8">
        <f t="shared" si="44"/>
        <v>1.6734472576321304</v>
      </c>
      <c r="AU26" s="8">
        <f t="shared" si="45"/>
        <v>8.5568083346563206</v>
      </c>
      <c r="AV26" s="38">
        <f t="shared" si="46"/>
        <v>28.337872851473215</v>
      </c>
      <c r="AW26" s="38">
        <f t="shared" si="47"/>
        <v>0</v>
      </c>
      <c r="AX26" s="4">
        <f t="shared" si="48"/>
        <v>290</v>
      </c>
      <c r="AY26" s="5">
        <f t="shared" si="49"/>
        <v>2.5942500198766076</v>
      </c>
      <c r="AZ26" s="8">
        <f t="shared" si="50"/>
        <v>460.0070341833499</v>
      </c>
      <c r="BA26" s="8">
        <f t="shared" si="51"/>
        <v>359339.09482266562</v>
      </c>
      <c r="BB26" s="3">
        <f t="shared" si="52"/>
        <v>3593390948.226656</v>
      </c>
      <c r="BC26" s="5">
        <f t="shared" si="53"/>
        <v>3.5933909482266562</v>
      </c>
      <c r="BD26" s="3">
        <f t="shared" si="54"/>
        <v>0.5</v>
      </c>
      <c r="BE26" s="3">
        <f t="shared" si="55"/>
        <v>11.74</v>
      </c>
      <c r="BF26" s="3">
        <f t="shared" si="56"/>
        <v>0.33600000000000002</v>
      </c>
      <c r="BG26" s="5">
        <f t="shared" si="57"/>
        <v>2.7781999448999999</v>
      </c>
      <c r="BH26" s="8">
        <f t="shared" si="58"/>
        <v>0</v>
      </c>
      <c r="BI26" s="8">
        <f t="shared" si="59"/>
        <v>1.5044456056999995</v>
      </c>
      <c r="BJ26" s="8">
        <f t="shared" si="60"/>
        <v>41.342261084821423</v>
      </c>
      <c r="BK26" s="8">
        <f t="shared" si="61"/>
        <v>124.02678325446428</v>
      </c>
      <c r="BL26" s="3">
        <f t="shared" si="62"/>
        <v>0</v>
      </c>
      <c r="BM26" s="3">
        <f t="shared" si="63"/>
        <v>1</v>
      </c>
      <c r="BN26" s="9">
        <f t="shared" si="64"/>
        <v>8</v>
      </c>
      <c r="BO26" s="3">
        <f t="shared" si="65"/>
        <v>290</v>
      </c>
      <c r="BP26" s="3">
        <f t="shared" si="66"/>
        <v>502.97075740294036</v>
      </c>
      <c r="BQ26" s="3">
        <f t="shared" si="67"/>
        <v>1.5044456056999995</v>
      </c>
      <c r="BR26" s="3">
        <f t="shared" si="68"/>
        <v>2.9000000000000001E-2</v>
      </c>
      <c r="BS26" s="9">
        <f t="shared" si="69"/>
        <v>0.10420833749857303</v>
      </c>
      <c r="BT26" s="3">
        <f t="shared" si="70"/>
        <v>104208.33749857303</v>
      </c>
      <c r="BU26" s="8">
        <f t="shared" si="71"/>
        <v>37.509300829794654</v>
      </c>
      <c r="BV26" s="10">
        <f t="shared" si="72"/>
        <v>45.848188196038862</v>
      </c>
      <c r="BW26" s="10">
        <f t="shared" si="73"/>
        <v>137.5445645881166</v>
      </c>
      <c r="BX26" s="8">
        <f t="shared" si="74"/>
        <v>18.345002397441572</v>
      </c>
      <c r="BY26" s="8">
        <f t="shared" si="75"/>
        <v>4.3880885260031581</v>
      </c>
      <c r="BZ26" s="8">
        <f t="shared" si="76"/>
        <v>27.599058243386928</v>
      </c>
      <c r="CA26" s="8">
        <f t="shared" si="77"/>
        <v>15.521771915178576</v>
      </c>
      <c r="CB26" s="8">
        <f t="shared" si="78"/>
        <v>0</v>
      </c>
      <c r="CC26" s="8">
        <f>Table4[[#This Row],[sed_del_kg_with_BP]]-Table4[[#This Row],[sed_del_kg_no_drain_BP]]</f>
        <v>19.042249908730607</v>
      </c>
      <c r="CD26" s="8">
        <f>Table4[[#This Row],[Disp_offset_m]]-Table4[[#This Row],[Disp_offset_m31]]</f>
        <v>12.816100936294639</v>
      </c>
      <c r="CE26" s="8">
        <f>Table4[[#This Row],[Gull_offset_m]]-Table4[[#This Row],[Gull_offset_m32]]</f>
        <v>0</v>
      </c>
    </row>
    <row r="27" spans="1:83" x14ac:dyDescent="0.4">
      <c r="A27" s="21">
        <v>75</v>
      </c>
      <c r="B27" s="21" t="s">
        <v>94</v>
      </c>
      <c r="C27" s="21">
        <v>63.341642</v>
      </c>
      <c r="D27" s="21">
        <v>619848.19999999995</v>
      </c>
      <c r="E27" s="21">
        <v>6081616.2000000002</v>
      </c>
      <c r="F27" s="21">
        <v>777.3</v>
      </c>
      <c r="G27" s="21">
        <v>14</v>
      </c>
      <c r="H27" s="21">
        <v>0</v>
      </c>
      <c r="I27" s="21">
        <v>15.33</v>
      </c>
      <c r="J27" s="21">
        <v>0</v>
      </c>
      <c r="K27" s="21">
        <v>100</v>
      </c>
      <c r="L27" s="21">
        <v>4</v>
      </c>
      <c r="M27" s="21">
        <v>100</v>
      </c>
      <c r="N27" s="21">
        <v>0</v>
      </c>
      <c r="O27" s="35">
        <v>5</v>
      </c>
      <c r="P27" s="21">
        <v>90</v>
      </c>
      <c r="Q27" s="4">
        <v>781.16</v>
      </c>
      <c r="R27" s="4">
        <v>30.899999619999999</v>
      </c>
      <c r="S27" s="4">
        <f t="shared" si="17"/>
        <v>61.32</v>
      </c>
      <c r="T27" s="5">
        <f t="shared" si="18"/>
        <v>2.9294544238463396</v>
      </c>
      <c r="U27" s="8">
        <f t="shared" si="19"/>
        <v>488.39549515554648</v>
      </c>
      <c r="V27" s="8">
        <f t="shared" si="20"/>
        <v>381515.02499570668</v>
      </c>
      <c r="W27" s="3">
        <f t="shared" si="21"/>
        <v>3815150249.957067</v>
      </c>
      <c r="X27" s="5">
        <f t="shared" si="22"/>
        <v>3.8151502499570671</v>
      </c>
      <c r="Y27" s="3">
        <f t="shared" si="23"/>
        <v>0.5</v>
      </c>
      <c r="Z27" s="3">
        <f t="shared" si="24"/>
        <v>11.74</v>
      </c>
      <c r="AA27" s="3">
        <f t="shared" si="25"/>
        <v>0.33600000000000002</v>
      </c>
      <c r="AB27" s="5">
        <f t="shared" si="26"/>
        <v>0.58744558834920013</v>
      </c>
      <c r="AC27" s="8">
        <f t="shared" si="27"/>
        <v>0</v>
      </c>
      <c r="AD27" s="8">
        <f t="shared" si="28"/>
        <v>0</v>
      </c>
      <c r="AE27" s="8">
        <f t="shared" si="29"/>
        <v>8.7417498266250018</v>
      </c>
      <c r="AF27" s="8">
        <f t="shared" si="30"/>
        <v>26.225249479875004</v>
      </c>
      <c r="AG27" s="3">
        <f t="shared" si="31"/>
        <v>0</v>
      </c>
      <c r="AH27" s="3">
        <f t="shared" si="32"/>
        <v>0</v>
      </c>
      <c r="AI27" s="9">
        <f t="shared" si="33"/>
        <v>5</v>
      </c>
      <c r="AJ27" s="3">
        <f t="shared" si="34"/>
        <v>61.32</v>
      </c>
      <c r="AK27" s="3">
        <f t="shared" si="35"/>
        <v>803.15992719688995</v>
      </c>
      <c r="AL27" s="3">
        <f t="shared" si="36"/>
        <v>0</v>
      </c>
      <c r="AM27" s="3">
        <f t="shared" si="37"/>
        <v>6.1320000000000003E-3</v>
      </c>
      <c r="AN27" s="9">
        <f t="shared" si="38"/>
        <v>2.3394501332736736E-2</v>
      </c>
      <c r="AO27" s="3">
        <f t="shared" si="39"/>
        <v>23394.501332736734</v>
      </c>
      <c r="AP27" s="8">
        <f t="shared" si="40"/>
        <v>39.824116133850595</v>
      </c>
      <c r="AQ27" s="10">
        <f t="shared" si="41"/>
        <v>241.52922567469855</v>
      </c>
      <c r="AR27" s="10">
        <f t="shared" si="42"/>
        <v>724.58767702409557</v>
      </c>
      <c r="AS27" s="8">
        <f t="shared" si="43"/>
        <v>0.91999848219646096</v>
      </c>
      <c r="AT27" s="8">
        <f t="shared" si="44"/>
        <v>4.9098592342440215E-4</v>
      </c>
      <c r="AU27" s="8">
        <f t="shared" si="45"/>
        <v>0</v>
      </c>
      <c r="AV27" s="38">
        <f t="shared" si="46"/>
        <v>54.599892173374997</v>
      </c>
      <c r="AW27" s="38">
        <f t="shared" si="47"/>
        <v>37.116392520124997</v>
      </c>
      <c r="AX27" s="4">
        <f t="shared" si="48"/>
        <v>400</v>
      </c>
      <c r="AY27" s="5">
        <f t="shared" si="49"/>
        <v>2.9294544238463396</v>
      </c>
      <c r="AZ27" s="8">
        <f t="shared" si="50"/>
        <v>488.39549515554648</v>
      </c>
      <c r="BA27" s="8">
        <f t="shared" si="51"/>
        <v>381515.02499570668</v>
      </c>
      <c r="BB27" s="3">
        <f t="shared" si="52"/>
        <v>3815150249.957067</v>
      </c>
      <c r="BC27" s="5">
        <f t="shared" si="53"/>
        <v>3.8151502499570671</v>
      </c>
      <c r="BD27" s="3">
        <f t="shared" si="54"/>
        <v>0.5</v>
      </c>
      <c r="BE27" s="3">
        <f t="shared" si="55"/>
        <v>11.74</v>
      </c>
      <c r="BF27" s="3">
        <f t="shared" si="56"/>
        <v>0.33600000000000002</v>
      </c>
      <c r="BG27" s="5">
        <f t="shared" si="57"/>
        <v>3.8319999240000002</v>
      </c>
      <c r="BH27" s="8">
        <f t="shared" si="58"/>
        <v>0</v>
      </c>
      <c r="BI27" s="8">
        <f t="shared" si="59"/>
        <v>2.4131471431999998</v>
      </c>
      <c r="BJ27" s="8">
        <f t="shared" si="60"/>
        <v>57.023808392857141</v>
      </c>
      <c r="BK27" s="8">
        <f t="shared" si="61"/>
        <v>171.07142517857142</v>
      </c>
      <c r="BL27" s="3">
        <f t="shared" si="62"/>
        <v>0</v>
      </c>
      <c r="BM27" s="3">
        <f t="shared" si="63"/>
        <v>0</v>
      </c>
      <c r="BN27" s="9">
        <f t="shared" si="64"/>
        <v>5</v>
      </c>
      <c r="BO27" s="3">
        <f t="shared" si="65"/>
        <v>400</v>
      </c>
      <c r="BP27" s="3">
        <f t="shared" si="66"/>
        <v>803.15992719688995</v>
      </c>
      <c r="BQ27" s="3">
        <f t="shared" si="67"/>
        <v>0</v>
      </c>
      <c r="BR27" s="3">
        <f t="shared" si="68"/>
        <v>0.04</v>
      </c>
      <c r="BS27" s="9">
        <f t="shared" si="69"/>
        <v>0.15260600999828269</v>
      </c>
      <c r="BT27" s="3">
        <f t="shared" si="70"/>
        <v>152606.00999828271</v>
      </c>
      <c r="BU27" s="8">
        <f t="shared" si="71"/>
        <v>39.824116133850609</v>
      </c>
      <c r="BV27" s="10">
        <f t="shared" si="72"/>
        <v>37.026430295931299</v>
      </c>
      <c r="BW27" s="10">
        <f t="shared" si="73"/>
        <v>111.07929088779387</v>
      </c>
      <c r="BX27" s="8">
        <f t="shared" si="74"/>
        <v>22.350760541473768</v>
      </c>
      <c r="BY27" s="8">
        <f t="shared" si="75"/>
        <v>7.0401939812758663</v>
      </c>
      <c r="BZ27" s="8">
        <f t="shared" si="76"/>
        <v>0</v>
      </c>
      <c r="CA27" s="8">
        <f t="shared" si="77"/>
        <v>6.3178336071428589</v>
      </c>
      <c r="CB27" s="8">
        <f t="shared" si="78"/>
        <v>0</v>
      </c>
      <c r="CC27" s="8">
        <f>Table4[[#This Row],[sed_del_kg_with_BP]]-Table4[[#This Row],[sed_del_kg_no_drain_BP]]</f>
        <v>0</v>
      </c>
      <c r="CD27" s="8">
        <f>Table4[[#This Row],[Disp_offset_m]]-Table4[[#This Row],[Disp_offset_m31]]</f>
        <v>48.282058566232138</v>
      </c>
      <c r="CE27" s="8">
        <f>Table4[[#This Row],[Gull_offset_m]]-Table4[[#This Row],[Gull_offset_m32]]</f>
        <v>37.116392520124997</v>
      </c>
    </row>
    <row r="28" spans="1:83" x14ac:dyDescent="0.4">
      <c r="A28" s="21">
        <v>108</v>
      </c>
      <c r="B28" s="21" t="s">
        <v>94</v>
      </c>
      <c r="C28" s="21">
        <v>66.933215000000004</v>
      </c>
      <c r="D28" s="21">
        <v>620294.1</v>
      </c>
      <c r="E28" s="21">
        <v>6082423.2000000002</v>
      </c>
      <c r="F28" s="21">
        <v>778.5</v>
      </c>
      <c r="G28" s="21">
        <v>9</v>
      </c>
      <c r="H28" s="21">
        <v>0</v>
      </c>
      <c r="I28" s="21">
        <v>33</v>
      </c>
      <c r="J28" s="21">
        <v>0</v>
      </c>
      <c r="K28" s="21">
        <v>100</v>
      </c>
      <c r="L28" s="21">
        <v>4.5</v>
      </c>
      <c r="M28" s="21">
        <v>100</v>
      </c>
      <c r="N28" s="21">
        <v>0</v>
      </c>
      <c r="O28" s="35">
        <v>6</v>
      </c>
      <c r="P28" s="21">
        <v>90</v>
      </c>
      <c r="Q28" s="4">
        <v>781.16</v>
      </c>
      <c r="R28" s="4">
        <v>30.899999619999999</v>
      </c>
      <c r="S28" s="4">
        <f t="shared" si="17"/>
        <v>148.5</v>
      </c>
      <c r="T28" s="5">
        <f t="shared" si="18"/>
        <v>2.3662432634748507</v>
      </c>
      <c r="U28" s="8">
        <f t="shared" si="19"/>
        <v>440.69714198368507</v>
      </c>
      <c r="V28" s="8">
        <f t="shared" si="20"/>
        <v>344254.9794319754</v>
      </c>
      <c r="W28" s="3">
        <f t="shared" si="21"/>
        <v>3442549794.3197541</v>
      </c>
      <c r="X28" s="5">
        <f t="shared" si="22"/>
        <v>3.4425497943197541</v>
      </c>
      <c r="Y28" s="3">
        <f t="shared" si="23"/>
        <v>0.5</v>
      </c>
      <c r="Z28" s="3">
        <f t="shared" si="24"/>
        <v>11.74</v>
      </c>
      <c r="AA28" s="3">
        <f t="shared" si="25"/>
        <v>0.33600000000000002</v>
      </c>
      <c r="AB28" s="5">
        <f t="shared" si="26"/>
        <v>1.4226299717849999</v>
      </c>
      <c r="AC28" s="8">
        <f t="shared" si="27"/>
        <v>0</v>
      </c>
      <c r="AD28" s="8">
        <f t="shared" si="28"/>
        <v>0</v>
      </c>
      <c r="AE28" s="8">
        <f t="shared" si="29"/>
        <v>21.170088865848211</v>
      </c>
      <c r="AF28" s="8">
        <f t="shared" si="30"/>
        <v>63.510266597544629</v>
      </c>
      <c r="AG28" s="3">
        <f t="shared" si="31"/>
        <v>0</v>
      </c>
      <c r="AH28" s="3">
        <f t="shared" si="32"/>
        <v>0</v>
      </c>
      <c r="AI28" s="9">
        <f t="shared" si="33"/>
        <v>6</v>
      </c>
      <c r="AJ28" s="3">
        <f t="shared" si="34"/>
        <v>148.5</v>
      </c>
      <c r="AK28" s="3">
        <f t="shared" si="35"/>
        <v>669.67405634539386</v>
      </c>
      <c r="AL28" s="3">
        <f t="shared" si="36"/>
        <v>0</v>
      </c>
      <c r="AM28" s="3">
        <f t="shared" si="37"/>
        <v>1.485E-2</v>
      </c>
      <c r="AN28" s="9">
        <f t="shared" si="38"/>
        <v>5.1121864445648348E-2</v>
      </c>
      <c r="AO28" s="3">
        <f t="shared" si="39"/>
        <v>51121.864445648345</v>
      </c>
      <c r="AP28" s="8">
        <f t="shared" si="40"/>
        <v>35.934758482210803</v>
      </c>
      <c r="AQ28" s="10">
        <f t="shared" si="41"/>
        <v>105.38959854183278</v>
      </c>
      <c r="AR28" s="10">
        <f t="shared" si="42"/>
        <v>316.16879562549832</v>
      </c>
      <c r="AS28" s="8">
        <f t="shared" si="43"/>
        <v>6.9422594637862289</v>
      </c>
      <c r="AT28" s="8">
        <f t="shared" si="44"/>
        <v>0.25910337080710233</v>
      </c>
      <c r="AU28" s="8">
        <f t="shared" si="45"/>
        <v>0</v>
      </c>
      <c r="AV28" s="38">
        <f t="shared" si="46"/>
        <v>45.76312613415179</v>
      </c>
      <c r="AW28" s="38">
        <f t="shared" si="47"/>
        <v>3.4229484024553756</v>
      </c>
      <c r="AX28" s="4">
        <f t="shared" si="48"/>
        <v>450</v>
      </c>
      <c r="AY28" s="5">
        <f t="shared" si="49"/>
        <v>2.3662432634748507</v>
      </c>
      <c r="AZ28" s="8">
        <f t="shared" si="50"/>
        <v>440.69714198368507</v>
      </c>
      <c r="BA28" s="8">
        <f t="shared" si="51"/>
        <v>344254.9794319754</v>
      </c>
      <c r="BB28" s="3">
        <f t="shared" si="52"/>
        <v>3442549794.3197541</v>
      </c>
      <c r="BC28" s="5">
        <f t="shared" si="53"/>
        <v>3.4425497943197541</v>
      </c>
      <c r="BD28" s="3">
        <f t="shared" si="54"/>
        <v>0.5</v>
      </c>
      <c r="BE28" s="3">
        <f t="shared" si="55"/>
        <v>11.74</v>
      </c>
      <c r="BF28" s="3">
        <f t="shared" si="56"/>
        <v>0.33600000000000002</v>
      </c>
      <c r="BG28" s="5">
        <f t="shared" si="57"/>
        <v>4.3109999145</v>
      </c>
      <c r="BH28" s="8">
        <f t="shared" si="58"/>
        <v>0</v>
      </c>
      <c r="BI28" s="8">
        <f t="shared" si="59"/>
        <v>2.8116958984999996</v>
      </c>
      <c r="BJ28" s="8">
        <f t="shared" si="60"/>
        <v>64.151784441964281</v>
      </c>
      <c r="BK28" s="8">
        <f t="shared" si="61"/>
        <v>192.45535332589284</v>
      </c>
      <c r="BL28" s="3">
        <f t="shared" si="62"/>
        <v>0</v>
      </c>
      <c r="BM28" s="3">
        <f t="shared" si="63"/>
        <v>0</v>
      </c>
      <c r="BN28" s="9">
        <f t="shared" si="64"/>
        <v>6</v>
      </c>
      <c r="BO28" s="3">
        <f t="shared" si="65"/>
        <v>450</v>
      </c>
      <c r="BP28" s="3">
        <f t="shared" si="66"/>
        <v>669.67405634539386</v>
      </c>
      <c r="BQ28" s="3">
        <f t="shared" si="67"/>
        <v>0</v>
      </c>
      <c r="BR28" s="3">
        <f t="shared" si="68"/>
        <v>4.4999999999999998E-2</v>
      </c>
      <c r="BS28" s="9">
        <f t="shared" si="69"/>
        <v>0.15491474074438893</v>
      </c>
      <c r="BT28" s="3">
        <f t="shared" si="70"/>
        <v>154914.74074438892</v>
      </c>
      <c r="BU28" s="8">
        <f t="shared" si="71"/>
        <v>35.934758482210803</v>
      </c>
      <c r="BV28" s="10">
        <f t="shared" si="72"/>
        <v>34.778567518804806</v>
      </c>
      <c r="BW28" s="10">
        <f t="shared" si="73"/>
        <v>104.33570255641445</v>
      </c>
      <c r="BX28" s="8">
        <f t="shared" si="74"/>
        <v>20.887677183573942</v>
      </c>
      <c r="BY28" s="8">
        <f t="shared" si="75"/>
        <v>7.057339012566354</v>
      </c>
      <c r="BZ28" s="8">
        <f t="shared" si="76"/>
        <v>0</v>
      </c>
      <c r="CA28" s="8">
        <f t="shared" si="77"/>
        <v>2.7814305580357228</v>
      </c>
      <c r="CB28" s="8">
        <f t="shared" si="78"/>
        <v>0</v>
      </c>
      <c r="CC28" s="8">
        <f>Table4[[#This Row],[sed_del_kg_with_BP]]-Table4[[#This Row],[sed_del_kg_no_drain_BP]]</f>
        <v>0</v>
      </c>
      <c r="CD28" s="8">
        <f>Table4[[#This Row],[Disp_offset_m]]-Table4[[#This Row],[Disp_offset_m31]]</f>
        <v>42.981695576116067</v>
      </c>
      <c r="CE28" s="8">
        <f>Table4[[#This Row],[Gull_offset_m]]-Table4[[#This Row],[Gull_offset_m32]]</f>
        <v>3.4229484024553756</v>
      </c>
    </row>
    <row r="29" spans="1:83" x14ac:dyDescent="0.4">
      <c r="A29" s="21">
        <v>76</v>
      </c>
      <c r="B29" s="21" t="s">
        <v>94</v>
      </c>
      <c r="C29" s="21">
        <v>55.777912999999998</v>
      </c>
      <c r="D29" s="21">
        <v>619830.69999999995</v>
      </c>
      <c r="E29" s="21">
        <v>6081625.7000000002</v>
      </c>
      <c r="F29" s="21">
        <v>781.9</v>
      </c>
      <c r="G29" s="21">
        <v>13</v>
      </c>
      <c r="H29" s="21">
        <v>0</v>
      </c>
      <c r="I29" s="21">
        <v>26.44</v>
      </c>
      <c r="J29" s="21">
        <v>0</v>
      </c>
      <c r="K29" s="21">
        <v>100</v>
      </c>
      <c r="L29" s="21">
        <v>3.9</v>
      </c>
      <c r="M29" s="21">
        <v>100</v>
      </c>
      <c r="N29" s="21">
        <v>0</v>
      </c>
      <c r="O29" s="35">
        <v>3</v>
      </c>
      <c r="P29" s="21">
        <v>90</v>
      </c>
      <c r="Q29" s="4">
        <v>781.16</v>
      </c>
      <c r="R29" s="4">
        <v>30.899999619999999</v>
      </c>
      <c r="S29" s="4">
        <f t="shared" si="17"/>
        <v>103.116</v>
      </c>
      <c r="T29" s="5">
        <f t="shared" si="18"/>
        <v>2.8192668236646963</v>
      </c>
      <c r="U29" s="8">
        <f t="shared" si="19"/>
        <v>479.0637072961631</v>
      </c>
      <c r="V29" s="8">
        <f t="shared" si="20"/>
        <v>374225.40559147077</v>
      </c>
      <c r="W29" s="3">
        <f t="shared" si="21"/>
        <v>3742254055.9147077</v>
      </c>
      <c r="X29" s="5">
        <f t="shared" si="22"/>
        <v>3.7422540559147075</v>
      </c>
      <c r="Y29" s="3">
        <f t="shared" si="23"/>
        <v>0.5</v>
      </c>
      <c r="Z29" s="3">
        <f t="shared" si="24"/>
        <v>11.74</v>
      </c>
      <c r="AA29" s="3">
        <f t="shared" si="25"/>
        <v>0.33600000000000002</v>
      </c>
      <c r="AB29" s="5">
        <f t="shared" si="26"/>
        <v>0.98785126040796001</v>
      </c>
      <c r="AC29" s="8">
        <f t="shared" si="27"/>
        <v>0</v>
      </c>
      <c r="AD29" s="8">
        <f t="shared" si="28"/>
        <v>0</v>
      </c>
      <c r="AE29" s="8">
        <f t="shared" si="29"/>
        <v>14.700167565594642</v>
      </c>
      <c r="AF29" s="8">
        <f t="shared" si="30"/>
        <v>44.100502696783927</v>
      </c>
      <c r="AG29" s="3">
        <f t="shared" si="31"/>
        <v>0</v>
      </c>
      <c r="AH29" s="3">
        <f t="shared" si="32"/>
        <v>0</v>
      </c>
      <c r="AI29" s="9">
        <f t="shared" si="33"/>
        <v>3</v>
      </c>
      <c r="AJ29" s="3">
        <f t="shared" si="34"/>
        <v>103.116</v>
      </c>
      <c r="AK29" s="3">
        <f t="shared" si="35"/>
        <v>1337.5125826508179</v>
      </c>
      <c r="AL29" s="3">
        <f t="shared" si="36"/>
        <v>0</v>
      </c>
      <c r="AM29" s="3">
        <f t="shared" si="37"/>
        <v>1.0311600000000001E-2</v>
      </c>
      <c r="AN29" s="9">
        <f t="shared" si="38"/>
        <v>3.8588626922970097E-2</v>
      </c>
      <c r="AO29" s="3">
        <f t="shared" si="39"/>
        <v>38588.626922970099</v>
      </c>
      <c r="AP29" s="8">
        <f t="shared" si="40"/>
        <v>39.063195512889138</v>
      </c>
      <c r="AQ29" s="10">
        <f t="shared" si="41"/>
        <v>126.47908660702785</v>
      </c>
      <c r="AR29" s="10">
        <f t="shared" si="42"/>
        <v>379.43725982108356</v>
      </c>
      <c r="AS29" s="8">
        <f t="shared" si="43"/>
        <v>5.4309114881609304</v>
      </c>
      <c r="AT29" s="8">
        <f t="shared" si="44"/>
        <v>0.10497421601509599</v>
      </c>
      <c r="AU29" s="8">
        <f t="shared" si="45"/>
        <v>0</v>
      </c>
      <c r="AV29" s="38">
        <f t="shared" si="46"/>
        <v>41.077745434405358</v>
      </c>
      <c r="AW29" s="38">
        <f t="shared" si="47"/>
        <v>11.677410303216071</v>
      </c>
      <c r="AX29" s="4">
        <f t="shared" si="48"/>
        <v>390</v>
      </c>
      <c r="AY29" s="5">
        <f t="shared" si="49"/>
        <v>2.8192668236646963</v>
      </c>
      <c r="AZ29" s="8">
        <f t="shared" si="50"/>
        <v>479.0637072961631</v>
      </c>
      <c r="BA29" s="8">
        <f t="shared" si="51"/>
        <v>374225.40559147077</v>
      </c>
      <c r="BB29" s="3">
        <f t="shared" si="52"/>
        <v>3742254055.9147077</v>
      </c>
      <c r="BC29" s="5">
        <f t="shared" si="53"/>
        <v>3.7422540559147075</v>
      </c>
      <c r="BD29" s="3">
        <f t="shared" si="54"/>
        <v>0.5</v>
      </c>
      <c r="BE29" s="3">
        <f t="shared" si="55"/>
        <v>11.74</v>
      </c>
      <c r="BF29" s="3">
        <f t="shared" si="56"/>
        <v>0.33600000000000002</v>
      </c>
      <c r="BG29" s="5">
        <f t="shared" si="57"/>
        <v>3.7361999258999998</v>
      </c>
      <c r="BH29" s="8">
        <f t="shared" si="58"/>
        <v>0</v>
      </c>
      <c r="BI29" s="8">
        <f t="shared" si="59"/>
        <v>2.4867746746999999</v>
      </c>
      <c r="BJ29" s="8">
        <f t="shared" si="60"/>
        <v>55.59821318303571</v>
      </c>
      <c r="BK29" s="8">
        <f t="shared" si="61"/>
        <v>166.79463954910713</v>
      </c>
      <c r="BL29" s="3">
        <f t="shared" si="62"/>
        <v>0</v>
      </c>
      <c r="BM29" s="3">
        <f t="shared" si="63"/>
        <v>0</v>
      </c>
      <c r="BN29" s="9">
        <f t="shared" si="64"/>
        <v>3</v>
      </c>
      <c r="BO29" s="3">
        <f t="shared" si="65"/>
        <v>390</v>
      </c>
      <c r="BP29" s="3">
        <f t="shared" si="66"/>
        <v>1337.5125826508179</v>
      </c>
      <c r="BQ29" s="3">
        <f t="shared" si="67"/>
        <v>0</v>
      </c>
      <c r="BR29" s="3">
        <f t="shared" si="68"/>
        <v>3.9E-2</v>
      </c>
      <c r="BS29" s="9">
        <f t="shared" si="69"/>
        <v>0.1459479081806736</v>
      </c>
      <c r="BT29" s="3">
        <f t="shared" si="70"/>
        <v>145947.90818067361</v>
      </c>
      <c r="BU29" s="8">
        <f t="shared" si="71"/>
        <v>39.063195512889138</v>
      </c>
      <c r="BV29" s="10">
        <f t="shared" si="72"/>
        <v>33.441070498898171</v>
      </c>
      <c r="BW29" s="10">
        <f t="shared" si="73"/>
        <v>100.3232114966945</v>
      </c>
      <c r="BX29" s="8">
        <f t="shared" si="74"/>
        <v>23.184872826956781</v>
      </c>
      <c r="BY29" s="8">
        <f t="shared" si="75"/>
        <v>8.1673020926551434</v>
      </c>
      <c r="BZ29" s="8">
        <f t="shared" si="76"/>
        <v>0</v>
      </c>
      <c r="CA29" s="8">
        <f t="shared" si="77"/>
        <v>0.17969981696428761</v>
      </c>
      <c r="CB29" s="8">
        <f t="shared" si="78"/>
        <v>0</v>
      </c>
      <c r="CC29" s="8">
        <f>Table4[[#This Row],[sed_del_kg_with_BP]]-Table4[[#This Row],[sed_del_kg_no_drain_BP]]</f>
        <v>0</v>
      </c>
      <c r="CD29" s="8">
        <f>Table4[[#This Row],[Disp_offset_m]]-Table4[[#This Row],[Disp_offset_m31]]</f>
        <v>40.89804561744107</v>
      </c>
      <c r="CE29" s="8">
        <f>Table4[[#This Row],[Gull_offset_m]]-Table4[[#This Row],[Gull_offset_m32]]</f>
        <v>11.677410303216071</v>
      </c>
    </row>
    <row r="30" spans="1:83" x14ac:dyDescent="0.4">
      <c r="A30" s="21">
        <v>107</v>
      </c>
      <c r="B30" s="21" t="s">
        <v>94</v>
      </c>
      <c r="C30" s="21">
        <v>76.281851000000003</v>
      </c>
      <c r="D30" s="21">
        <v>620287.9</v>
      </c>
      <c r="E30" s="21">
        <v>6082390.7999999998</v>
      </c>
      <c r="F30" s="21">
        <v>783.3</v>
      </c>
      <c r="G30" s="21">
        <v>20</v>
      </c>
      <c r="H30" s="21">
        <v>0</v>
      </c>
      <c r="I30" s="21">
        <v>27.3</v>
      </c>
      <c r="J30" s="21">
        <v>0</v>
      </c>
      <c r="K30" s="21">
        <v>100</v>
      </c>
      <c r="L30" s="21">
        <v>4.2</v>
      </c>
      <c r="M30" s="21">
        <v>100</v>
      </c>
      <c r="N30" s="21">
        <v>0</v>
      </c>
      <c r="O30" s="35">
        <v>15</v>
      </c>
      <c r="P30" s="21">
        <v>90</v>
      </c>
      <c r="Q30" s="4">
        <v>781.16</v>
      </c>
      <c r="R30" s="4">
        <v>30.899999619999999</v>
      </c>
      <c r="S30" s="4">
        <f t="shared" si="17"/>
        <v>114.66000000000001</v>
      </c>
      <c r="T30" s="5">
        <f t="shared" si="18"/>
        <v>3.533596116398225</v>
      </c>
      <c r="U30" s="8">
        <f t="shared" si="19"/>
        <v>539.56025509776566</v>
      </c>
      <c r="V30" s="8">
        <f t="shared" si="20"/>
        <v>421482.88887217059</v>
      </c>
      <c r="W30" s="3">
        <f t="shared" si="21"/>
        <v>4214828888.7217059</v>
      </c>
      <c r="X30" s="5">
        <f t="shared" si="22"/>
        <v>4.2148288887217058</v>
      </c>
      <c r="Y30" s="3">
        <f t="shared" si="23"/>
        <v>0.5</v>
      </c>
      <c r="Z30" s="3">
        <f t="shared" si="24"/>
        <v>11.74</v>
      </c>
      <c r="AA30" s="3">
        <f t="shared" si="25"/>
        <v>0.33600000000000002</v>
      </c>
      <c r="AB30" s="5">
        <f t="shared" si="26"/>
        <v>1.0984427782146002</v>
      </c>
      <c r="AC30" s="8">
        <f t="shared" si="27"/>
        <v>0</v>
      </c>
      <c r="AD30" s="8">
        <f t="shared" si="28"/>
        <v>0</v>
      </c>
      <c r="AE30" s="8">
        <f t="shared" si="29"/>
        <v>16.345874675812503</v>
      </c>
      <c r="AF30" s="8">
        <f t="shared" si="30"/>
        <v>49.037624027437509</v>
      </c>
      <c r="AG30" s="3">
        <f t="shared" si="31"/>
        <v>0</v>
      </c>
      <c r="AH30" s="3">
        <f t="shared" si="32"/>
        <v>0</v>
      </c>
      <c r="AI30" s="9">
        <f t="shared" si="33"/>
        <v>15</v>
      </c>
      <c r="AJ30" s="3">
        <f t="shared" si="34"/>
        <v>114.66000000000001</v>
      </c>
      <c r="AK30" s="3">
        <f t="shared" si="35"/>
        <v>270.45923136093916</v>
      </c>
      <c r="AL30" s="3">
        <f t="shared" si="36"/>
        <v>0</v>
      </c>
      <c r="AM30" s="3">
        <f t="shared" si="37"/>
        <v>1.1466E-2</v>
      </c>
      <c r="AN30" s="9">
        <f t="shared" si="38"/>
        <v>4.8327228038083078E-2</v>
      </c>
      <c r="AO30" s="3">
        <f t="shared" si="39"/>
        <v>48327.228038083078</v>
      </c>
      <c r="AP30" s="8">
        <f t="shared" si="40"/>
        <v>43.996127059648714</v>
      </c>
      <c r="AQ30" s="10">
        <f t="shared" si="41"/>
        <v>155.5578038555025</v>
      </c>
      <c r="AR30" s="10">
        <f t="shared" si="42"/>
        <v>466.67341156650747</v>
      </c>
      <c r="AS30" s="8">
        <f t="shared" si="43"/>
        <v>3.8860758460228002</v>
      </c>
      <c r="AT30" s="8">
        <f t="shared" si="44"/>
        <v>3.0318305354711559E-2</v>
      </c>
      <c r="AU30" s="8">
        <f t="shared" si="45"/>
        <v>0</v>
      </c>
      <c r="AV30" s="38">
        <f t="shared" si="46"/>
        <v>59.9359763241875</v>
      </c>
      <c r="AW30" s="38">
        <f t="shared" si="47"/>
        <v>27.244226972562494</v>
      </c>
      <c r="AX30" s="4">
        <f t="shared" si="48"/>
        <v>420</v>
      </c>
      <c r="AY30" s="5">
        <f t="shared" si="49"/>
        <v>3.533596116398225</v>
      </c>
      <c r="AZ30" s="8">
        <f t="shared" si="50"/>
        <v>539.56025509776566</v>
      </c>
      <c r="BA30" s="8">
        <f t="shared" si="51"/>
        <v>421482.88887217059</v>
      </c>
      <c r="BB30" s="3">
        <f t="shared" si="52"/>
        <v>4214828888.7217059</v>
      </c>
      <c r="BC30" s="5">
        <f t="shared" si="53"/>
        <v>4.2148288887217058</v>
      </c>
      <c r="BD30" s="3">
        <f t="shared" si="54"/>
        <v>0.5</v>
      </c>
      <c r="BE30" s="3">
        <f t="shared" si="55"/>
        <v>11.74</v>
      </c>
      <c r="BF30" s="3">
        <f t="shared" si="56"/>
        <v>0.33600000000000002</v>
      </c>
      <c r="BG30" s="5">
        <f t="shared" si="57"/>
        <v>4.0235999202000006</v>
      </c>
      <c r="BH30" s="8">
        <f t="shared" si="58"/>
        <v>0</v>
      </c>
      <c r="BI30" s="8">
        <f t="shared" si="59"/>
        <v>2.3148864578000006</v>
      </c>
      <c r="BJ30" s="8">
        <f t="shared" si="60"/>
        <v>59.874998812500003</v>
      </c>
      <c r="BK30" s="8">
        <f t="shared" si="61"/>
        <v>179.62499643750002</v>
      </c>
      <c r="BL30" s="3">
        <f t="shared" si="62"/>
        <v>1</v>
      </c>
      <c r="BM30" s="3">
        <f t="shared" si="63"/>
        <v>0</v>
      </c>
      <c r="BN30" s="9">
        <f t="shared" si="64"/>
        <v>15</v>
      </c>
      <c r="BO30" s="3">
        <f t="shared" si="65"/>
        <v>420</v>
      </c>
      <c r="BP30" s="3">
        <f t="shared" si="66"/>
        <v>270.45923136093916</v>
      </c>
      <c r="BQ30" s="3">
        <f t="shared" si="67"/>
        <v>0</v>
      </c>
      <c r="BR30" s="3">
        <f t="shared" si="68"/>
        <v>4.2000000000000003E-2</v>
      </c>
      <c r="BS30" s="9">
        <f t="shared" si="69"/>
        <v>0.17702281332631165</v>
      </c>
      <c r="BT30" s="3">
        <f t="shared" si="70"/>
        <v>177022.81332631165</v>
      </c>
      <c r="BU30" s="8">
        <f t="shared" si="71"/>
        <v>43.996127059648714</v>
      </c>
      <c r="BV30" s="10">
        <f t="shared" si="72"/>
        <v>42.467280452552188</v>
      </c>
      <c r="BW30" s="10">
        <f t="shared" si="73"/>
        <v>127.40184135765655</v>
      </c>
      <c r="BX30" s="8">
        <f t="shared" si="74"/>
        <v>22.682915809218386</v>
      </c>
      <c r="BY30" s="8">
        <f t="shared" si="75"/>
        <v>6.0293118519755655</v>
      </c>
      <c r="BZ30" s="8">
        <f t="shared" si="76"/>
        <v>0</v>
      </c>
      <c r="CA30" s="8">
        <f t="shared" si="77"/>
        <v>16.4068521875</v>
      </c>
      <c r="CB30" s="8">
        <f t="shared" si="78"/>
        <v>0</v>
      </c>
      <c r="CC30" s="8">
        <f>Table4[[#This Row],[sed_del_kg_with_BP]]-Table4[[#This Row],[sed_del_kg_no_drain_BP]]</f>
        <v>0</v>
      </c>
      <c r="CD30" s="8">
        <f>Table4[[#This Row],[Disp_offset_m]]-Table4[[#This Row],[Disp_offset_m31]]</f>
        <v>43.5291241366875</v>
      </c>
      <c r="CE30" s="8">
        <f>Table4[[#This Row],[Gull_offset_m]]-Table4[[#This Row],[Gull_offset_m32]]</f>
        <v>27.244226972562494</v>
      </c>
    </row>
    <row r="31" spans="1:83" x14ac:dyDescent="0.4">
      <c r="A31" s="21">
        <v>77</v>
      </c>
      <c r="B31" s="21" t="s">
        <v>94</v>
      </c>
      <c r="C31" s="21">
        <v>4.3078500000000002</v>
      </c>
      <c r="D31" s="21">
        <v>619836</v>
      </c>
      <c r="E31" s="21">
        <v>6081651.5999999996</v>
      </c>
      <c r="F31" s="21">
        <v>786.2</v>
      </c>
      <c r="G31" s="21">
        <v>17</v>
      </c>
      <c r="H31" s="21">
        <v>0</v>
      </c>
      <c r="I31" s="21">
        <v>25.85</v>
      </c>
      <c r="J31" s="21">
        <v>0</v>
      </c>
      <c r="K31" s="21">
        <v>100</v>
      </c>
      <c r="L31" s="21">
        <v>3.4</v>
      </c>
      <c r="M31" s="21">
        <v>100</v>
      </c>
      <c r="N31" s="21">
        <v>1</v>
      </c>
      <c r="O31" s="35">
        <v>11</v>
      </c>
      <c r="P31" s="21">
        <v>90</v>
      </c>
      <c r="Q31" s="4">
        <v>781.16</v>
      </c>
      <c r="R31" s="4">
        <v>30.899999619999999</v>
      </c>
      <c r="S31" s="4">
        <f t="shared" si="17"/>
        <v>87.89</v>
      </c>
      <c r="T31" s="5">
        <f t="shared" si="18"/>
        <v>3.2456920022533735</v>
      </c>
      <c r="U31" s="8">
        <f t="shared" si="19"/>
        <v>515.17765567083813</v>
      </c>
      <c r="V31" s="8">
        <f t="shared" si="20"/>
        <v>402436.17750383192</v>
      </c>
      <c r="W31" s="3">
        <f t="shared" si="21"/>
        <v>4024361775.0383191</v>
      </c>
      <c r="X31" s="5">
        <f t="shared" si="22"/>
        <v>4.0243617750383187</v>
      </c>
      <c r="Y31" s="3">
        <f t="shared" si="23"/>
        <v>0.5</v>
      </c>
      <c r="Z31" s="3">
        <f t="shared" si="24"/>
        <v>11.74</v>
      </c>
      <c r="AA31" s="3">
        <f t="shared" si="25"/>
        <v>0.33600000000000002</v>
      </c>
      <c r="AB31" s="5">
        <f t="shared" si="26"/>
        <v>0.84198618330090003</v>
      </c>
      <c r="AC31" s="8">
        <f t="shared" si="27"/>
        <v>0.55249866330089992</v>
      </c>
      <c r="AD31" s="8">
        <f t="shared" si="28"/>
        <v>0.74549034330090003</v>
      </c>
      <c r="AE31" s="8">
        <f t="shared" si="29"/>
        <v>12.529556299120534</v>
      </c>
      <c r="AF31" s="8">
        <f t="shared" si="30"/>
        <v>37.5886688973616</v>
      </c>
      <c r="AG31" s="3">
        <f t="shared" si="31"/>
        <v>0</v>
      </c>
      <c r="AH31" s="3">
        <f t="shared" si="32"/>
        <v>1</v>
      </c>
      <c r="AI31" s="9">
        <f t="shared" si="33"/>
        <v>11</v>
      </c>
      <c r="AJ31" s="3">
        <f t="shared" si="34"/>
        <v>87.89</v>
      </c>
      <c r="AK31" s="3">
        <f t="shared" si="35"/>
        <v>366.85901449174941</v>
      </c>
      <c r="AL31" s="3">
        <f t="shared" si="36"/>
        <v>0.74549034330090003</v>
      </c>
      <c r="AM31" s="3">
        <f t="shared" si="37"/>
        <v>8.7889999999999999E-3</v>
      </c>
      <c r="AN31" s="9">
        <f t="shared" si="38"/>
        <v>3.5370115640811786E-2</v>
      </c>
      <c r="AO31" s="3">
        <f t="shared" si="39"/>
        <v>35370.115640811789</v>
      </c>
      <c r="AP31" s="8">
        <f t="shared" si="40"/>
        <v>42.007952555881303</v>
      </c>
      <c r="AQ31" s="10">
        <f t="shared" si="41"/>
        <v>11.460501598933645</v>
      </c>
      <c r="AR31" s="10">
        <f t="shared" si="42"/>
        <v>34.38150479680094</v>
      </c>
      <c r="AS31" s="8">
        <f t="shared" si="43"/>
        <v>35.13069051177564</v>
      </c>
      <c r="AT31" s="8">
        <f t="shared" si="44"/>
        <v>24.569540190634342</v>
      </c>
      <c r="AU31" s="8">
        <f t="shared" si="45"/>
        <v>26.189590530021292</v>
      </c>
      <c r="AV31" s="38">
        <f t="shared" si="46"/>
        <v>0</v>
      </c>
      <c r="AW31" s="38">
        <f t="shared" si="47"/>
        <v>0</v>
      </c>
      <c r="AX31" s="4">
        <f t="shared" si="48"/>
        <v>340</v>
      </c>
      <c r="AY31" s="5">
        <f t="shared" si="49"/>
        <v>3.2456920022533735</v>
      </c>
      <c r="AZ31" s="8">
        <f t="shared" si="50"/>
        <v>515.17765567083813</v>
      </c>
      <c r="BA31" s="8">
        <f t="shared" si="51"/>
        <v>402436.17750383192</v>
      </c>
      <c r="BB31" s="3">
        <f t="shared" si="52"/>
        <v>4024361775.0383191</v>
      </c>
      <c r="BC31" s="5">
        <f t="shared" si="53"/>
        <v>4.0243617750383187</v>
      </c>
      <c r="BD31" s="3">
        <f t="shared" si="54"/>
        <v>0.5</v>
      </c>
      <c r="BE31" s="3">
        <f t="shared" si="55"/>
        <v>11.74</v>
      </c>
      <c r="BF31" s="3">
        <f t="shared" si="56"/>
        <v>0.33600000000000002</v>
      </c>
      <c r="BG31" s="5">
        <f t="shared" si="57"/>
        <v>3.2571999354000001</v>
      </c>
      <c r="BH31" s="8">
        <f t="shared" si="58"/>
        <v>2.9677124153999999</v>
      </c>
      <c r="BI31" s="8">
        <f t="shared" si="59"/>
        <v>3.1607040953999999</v>
      </c>
      <c r="BJ31" s="8">
        <f t="shared" si="60"/>
        <v>48.47023713392857</v>
      </c>
      <c r="BK31" s="8">
        <f t="shared" si="61"/>
        <v>145.4107114017857</v>
      </c>
      <c r="BL31" s="3">
        <f t="shared" si="62"/>
        <v>0</v>
      </c>
      <c r="BM31" s="3">
        <f t="shared" si="63"/>
        <v>1</v>
      </c>
      <c r="BN31" s="9">
        <f t="shared" si="64"/>
        <v>11</v>
      </c>
      <c r="BO31" s="3">
        <f t="shared" si="65"/>
        <v>340</v>
      </c>
      <c r="BP31" s="3">
        <f t="shared" si="66"/>
        <v>366.85901449174941</v>
      </c>
      <c r="BQ31" s="3">
        <f t="shared" si="67"/>
        <v>3.1607040953999999</v>
      </c>
      <c r="BR31" s="3">
        <f t="shared" si="68"/>
        <v>3.4000000000000002E-2</v>
      </c>
      <c r="BS31" s="9">
        <f t="shared" si="69"/>
        <v>0.13682830035130283</v>
      </c>
      <c r="BT31" s="3">
        <f t="shared" si="70"/>
        <v>136828.30035130284</v>
      </c>
      <c r="BU31" s="8">
        <f t="shared" si="71"/>
        <v>42.007952555881303</v>
      </c>
      <c r="BV31" s="10">
        <f t="shared" si="72"/>
        <v>2.962539663324347</v>
      </c>
      <c r="BW31" s="10">
        <f t="shared" si="73"/>
        <v>8.8876189899730402</v>
      </c>
      <c r="BX31" s="8">
        <f t="shared" si="74"/>
        <v>40.110707883504325</v>
      </c>
      <c r="BY31" s="8">
        <f t="shared" si="75"/>
        <v>36.569409710961253</v>
      </c>
      <c r="BZ31" s="8">
        <f t="shared" si="76"/>
        <v>126.77807867678519</v>
      </c>
      <c r="CA31" s="8">
        <f t="shared" si="77"/>
        <v>0</v>
      </c>
      <c r="CB31" s="8">
        <f t="shared" si="78"/>
        <v>0</v>
      </c>
      <c r="CC31" s="8">
        <f>Table4[[#This Row],[sed_del_kg_with_BP]]-Table4[[#This Row],[sed_del_kg_no_drain_BP]]</f>
        <v>100.58848814676389</v>
      </c>
      <c r="CD31" s="8">
        <f>Table4[[#This Row],[Disp_offset_m]]-Table4[[#This Row],[Disp_offset_m31]]</f>
        <v>0</v>
      </c>
      <c r="CE31" s="8">
        <f>Table4[[#This Row],[Gull_offset_m]]-Table4[[#This Row],[Gull_offset_m32]]</f>
        <v>0</v>
      </c>
    </row>
    <row r="32" spans="1:83" x14ac:dyDescent="0.4">
      <c r="A32" s="21">
        <v>127</v>
      </c>
      <c r="B32" s="21" t="s">
        <v>94</v>
      </c>
      <c r="C32" s="21">
        <v>109.3621</v>
      </c>
      <c r="D32" s="21">
        <v>620704.19999999995</v>
      </c>
      <c r="E32" s="21">
        <v>6082561.9000000004</v>
      </c>
      <c r="F32" s="21">
        <v>787.3</v>
      </c>
      <c r="G32" s="21">
        <v>19</v>
      </c>
      <c r="H32" s="21">
        <v>0</v>
      </c>
      <c r="I32" s="21">
        <v>60</v>
      </c>
      <c r="J32" s="21">
        <v>0</v>
      </c>
      <c r="K32" s="21">
        <v>100</v>
      </c>
      <c r="L32" s="21">
        <v>3.2</v>
      </c>
      <c r="M32" s="21">
        <v>100</v>
      </c>
      <c r="N32" s="21">
        <v>0</v>
      </c>
      <c r="O32" s="35">
        <v>10</v>
      </c>
      <c r="P32" s="21">
        <v>90</v>
      </c>
      <c r="Q32" s="4">
        <v>781.16</v>
      </c>
      <c r="R32" s="4">
        <v>30.899999619999999</v>
      </c>
      <c r="S32" s="4">
        <f t="shared" si="17"/>
        <v>192</v>
      </c>
      <c r="T32" s="5">
        <f t="shared" si="18"/>
        <v>3.4412021192905757</v>
      </c>
      <c r="U32" s="8">
        <f t="shared" si="19"/>
        <v>531.73540748271887</v>
      </c>
      <c r="V32" s="8">
        <f t="shared" si="20"/>
        <v>415370.43090920063</v>
      </c>
      <c r="W32" s="3">
        <f t="shared" si="21"/>
        <v>4153704309.0920062</v>
      </c>
      <c r="X32" s="5">
        <f t="shared" si="22"/>
        <v>4.1537043090920065</v>
      </c>
      <c r="Y32" s="3">
        <f t="shared" si="23"/>
        <v>0.5</v>
      </c>
      <c r="Z32" s="3">
        <f t="shared" si="24"/>
        <v>11.74</v>
      </c>
      <c r="AA32" s="3">
        <f t="shared" si="25"/>
        <v>0.33600000000000002</v>
      </c>
      <c r="AB32" s="5">
        <f t="shared" si="26"/>
        <v>1.83935996352</v>
      </c>
      <c r="AC32" s="8">
        <f t="shared" si="27"/>
        <v>0</v>
      </c>
      <c r="AD32" s="8">
        <f t="shared" si="28"/>
        <v>0</v>
      </c>
      <c r="AE32" s="8">
        <f t="shared" si="29"/>
        <v>27.37142802857143</v>
      </c>
      <c r="AF32" s="8">
        <f t="shared" si="30"/>
        <v>82.114284085714289</v>
      </c>
      <c r="AG32" s="3">
        <f t="shared" si="31"/>
        <v>0</v>
      </c>
      <c r="AH32" s="3">
        <f t="shared" si="32"/>
        <v>0</v>
      </c>
      <c r="AI32" s="9">
        <f t="shared" si="33"/>
        <v>10</v>
      </c>
      <c r="AJ32" s="3">
        <f t="shared" si="34"/>
        <v>192</v>
      </c>
      <c r="AK32" s="3">
        <f t="shared" si="35"/>
        <v>403.1139338200544</v>
      </c>
      <c r="AL32" s="3">
        <f t="shared" si="36"/>
        <v>0</v>
      </c>
      <c r="AM32" s="3">
        <f t="shared" si="37"/>
        <v>1.9199999999999998E-2</v>
      </c>
      <c r="AN32" s="9">
        <f t="shared" si="38"/>
        <v>7.9751122734566512E-2</v>
      </c>
      <c r="AO32" s="3">
        <f t="shared" si="39"/>
        <v>79751.12273456651</v>
      </c>
      <c r="AP32" s="8">
        <f t="shared" si="40"/>
        <v>43.358083418291898</v>
      </c>
      <c r="AQ32" s="10">
        <f t="shared" si="41"/>
        <v>133.18279665672213</v>
      </c>
      <c r="AR32" s="10">
        <f t="shared" si="42"/>
        <v>399.5483899701664</v>
      </c>
      <c r="AS32" s="8">
        <f t="shared" si="43"/>
        <v>5.4294700185310711</v>
      </c>
      <c r="AT32" s="8">
        <f t="shared" si="44"/>
        <v>8.5139709638557867E-2</v>
      </c>
      <c r="AU32" s="8">
        <f t="shared" si="45"/>
        <v>0</v>
      </c>
      <c r="AV32" s="38">
        <f t="shared" si="46"/>
        <v>81.990671971428569</v>
      </c>
      <c r="AW32" s="38">
        <f t="shared" si="47"/>
        <v>27.247815914285709</v>
      </c>
      <c r="AX32" s="4">
        <f t="shared" si="48"/>
        <v>320</v>
      </c>
      <c r="AY32" s="5">
        <f t="shared" si="49"/>
        <v>3.4412021192905757</v>
      </c>
      <c r="AZ32" s="8">
        <f t="shared" si="50"/>
        <v>531.73540748271887</v>
      </c>
      <c r="BA32" s="8">
        <f t="shared" si="51"/>
        <v>415370.43090920063</v>
      </c>
      <c r="BB32" s="3">
        <f t="shared" si="52"/>
        <v>4153704309.0920062</v>
      </c>
      <c r="BC32" s="5">
        <f t="shared" si="53"/>
        <v>4.1537043090920065</v>
      </c>
      <c r="BD32" s="3">
        <f t="shared" si="54"/>
        <v>0.5</v>
      </c>
      <c r="BE32" s="3">
        <f t="shared" si="55"/>
        <v>11.74</v>
      </c>
      <c r="BF32" s="3">
        <f t="shared" si="56"/>
        <v>0.33600000000000002</v>
      </c>
      <c r="BG32" s="5">
        <f t="shared" si="57"/>
        <v>3.0655999392000002</v>
      </c>
      <c r="BH32" s="8">
        <f t="shared" si="58"/>
        <v>0</v>
      </c>
      <c r="BI32" s="8">
        <f t="shared" si="59"/>
        <v>0.6158888991999999</v>
      </c>
      <c r="BJ32" s="8">
        <f t="shared" si="60"/>
        <v>45.619046714285716</v>
      </c>
      <c r="BK32" s="8">
        <f t="shared" si="61"/>
        <v>136.85714014285713</v>
      </c>
      <c r="BL32" s="3">
        <f t="shared" si="62"/>
        <v>0</v>
      </c>
      <c r="BM32" s="3">
        <f t="shared" si="63"/>
        <v>0</v>
      </c>
      <c r="BN32" s="9">
        <f t="shared" si="64"/>
        <v>10</v>
      </c>
      <c r="BO32" s="3">
        <f t="shared" si="65"/>
        <v>320</v>
      </c>
      <c r="BP32" s="3">
        <f t="shared" si="66"/>
        <v>403.1139338200544</v>
      </c>
      <c r="BQ32" s="3">
        <f t="shared" si="67"/>
        <v>0</v>
      </c>
      <c r="BR32" s="3">
        <f t="shared" si="68"/>
        <v>3.2000000000000001E-2</v>
      </c>
      <c r="BS32" s="9">
        <f t="shared" si="69"/>
        <v>0.13291853789094421</v>
      </c>
      <c r="BT32" s="3">
        <f t="shared" si="70"/>
        <v>132918.53789094422</v>
      </c>
      <c r="BU32" s="8">
        <f t="shared" si="71"/>
        <v>43.358083418291912</v>
      </c>
      <c r="BV32" s="10">
        <f t="shared" si="72"/>
        <v>79.909677994033274</v>
      </c>
      <c r="BW32" s="10">
        <f t="shared" si="73"/>
        <v>239.72903398209985</v>
      </c>
      <c r="BX32" s="8">
        <f t="shared" si="74"/>
        <v>12.464719052840559</v>
      </c>
      <c r="BY32" s="8">
        <f t="shared" si="75"/>
        <v>1.030166278270185</v>
      </c>
      <c r="BZ32" s="8">
        <f t="shared" si="76"/>
        <v>0</v>
      </c>
      <c r="CA32" s="8">
        <f t="shared" si="77"/>
        <v>63.743053285714282</v>
      </c>
      <c r="CB32" s="8">
        <f t="shared" si="78"/>
        <v>0</v>
      </c>
      <c r="CC32" s="8">
        <f>Table4[[#This Row],[sed_del_kg_with_BP]]-Table4[[#This Row],[sed_del_kg_no_drain_BP]]</f>
        <v>0</v>
      </c>
      <c r="CD32" s="8">
        <f>Table4[[#This Row],[Disp_offset_m]]-Table4[[#This Row],[Disp_offset_m31]]</f>
        <v>18.247618685714286</v>
      </c>
      <c r="CE32" s="8">
        <f>Table4[[#This Row],[Gull_offset_m]]-Table4[[#This Row],[Gull_offset_m32]]</f>
        <v>27.247815914285709</v>
      </c>
    </row>
    <row r="33" spans="1:83" x14ac:dyDescent="0.4">
      <c r="A33" s="21">
        <v>106</v>
      </c>
      <c r="B33" s="21" t="s">
        <v>94</v>
      </c>
      <c r="C33" s="21">
        <v>99.606858000000003</v>
      </c>
      <c r="D33" s="21">
        <v>620302.4</v>
      </c>
      <c r="E33" s="21">
        <v>6082367.5999999996</v>
      </c>
      <c r="F33" s="21">
        <v>788.5</v>
      </c>
      <c r="G33" s="21">
        <v>11</v>
      </c>
      <c r="H33" s="21">
        <v>0</v>
      </c>
      <c r="I33" s="21">
        <v>60.95</v>
      </c>
      <c r="J33" s="21">
        <v>0</v>
      </c>
      <c r="K33" s="21">
        <v>100</v>
      </c>
      <c r="L33" s="21">
        <v>3.5</v>
      </c>
      <c r="M33" s="21">
        <v>100</v>
      </c>
      <c r="N33" s="21">
        <v>0</v>
      </c>
      <c r="O33" s="35">
        <v>4</v>
      </c>
      <c r="P33" s="21">
        <v>90</v>
      </c>
      <c r="Q33" s="4">
        <v>781.16</v>
      </c>
      <c r="R33" s="4">
        <v>30.899999619999999</v>
      </c>
      <c r="S33" s="4">
        <f t="shared" si="17"/>
        <v>213.32500000000002</v>
      </c>
      <c r="T33" s="5">
        <f t="shared" si="18"/>
        <v>2.5942500198766076</v>
      </c>
      <c r="U33" s="8">
        <f t="shared" si="19"/>
        <v>460.0070341833499</v>
      </c>
      <c r="V33" s="8">
        <f t="shared" si="20"/>
        <v>359339.09482266562</v>
      </c>
      <c r="W33" s="3">
        <f t="shared" si="21"/>
        <v>3593390948.226656</v>
      </c>
      <c r="X33" s="5">
        <f t="shared" si="22"/>
        <v>3.5933909482266562</v>
      </c>
      <c r="Y33" s="3">
        <f t="shared" si="23"/>
        <v>0.5</v>
      </c>
      <c r="Z33" s="3">
        <f t="shared" si="24"/>
        <v>11.74</v>
      </c>
      <c r="AA33" s="3">
        <f t="shared" si="25"/>
        <v>0.33600000000000002</v>
      </c>
      <c r="AB33" s="5">
        <f t="shared" si="26"/>
        <v>2.0436534594682501</v>
      </c>
      <c r="AC33" s="8">
        <f t="shared" si="27"/>
        <v>0</v>
      </c>
      <c r="AD33" s="8">
        <f t="shared" si="28"/>
        <v>0</v>
      </c>
      <c r="AE33" s="8">
        <f t="shared" si="29"/>
        <v>30.411509813515622</v>
      </c>
      <c r="AF33" s="8">
        <f t="shared" si="30"/>
        <v>91.234529440546865</v>
      </c>
      <c r="AG33" s="3">
        <f t="shared" si="31"/>
        <v>0</v>
      </c>
      <c r="AH33" s="3">
        <f t="shared" si="32"/>
        <v>0</v>
      </c>
      <c r="AI33" s="9">
        <f t="shared" si="33"/>
        <v>4</v>
      </c>
      <c r="AJ33" s="3">
        <f t="shared" si="34"/>
        <v>213.32500000000002</v>
      </c>
      <c r="AK33" s="3">
        <f t="shared" si="35"/>
        <v>1003.4910918342573</v>
      </c>
      <c r="AL33" s="3">
        <f t="shared" si="36"/>
        <v>0</v>
      </c>
      <c r="AM33" s="3">
        <f t="shared" si="37"/>
        <v>2.1332500000000001E-2</v>
      </c>
      <c r="AN33" s="9">
        <f t="shared" si="38"/>
        <v>7.6656012403045148E-2</v>
      </c>
      <c r="AO33" s="3">
        <f t="shared" si="39"/>
        <v>76656.012403045155</v>
      </c>
      <c r="AP33" s="8">
        <f t="shared" si="40"/>
        <v>37.509300829794661</v>
      </c>
      <c r="AQ33" s="10">
        <f t="shared" si="41"/>
        <v>109.17671040864958</v>
      </c>
      <c r="AR33" s="10">
        <f t="shared" si="42"/>
        <v>327.53013122594876</v>
      </c>
      <c r="AS33" s="8">
        <f t="shared" si="43"/>
        <v>6.8307347316485441</v>
      </c>
      <c r="AT33" s="8">
        <f t="shared" si="44"/>
        <v>0.22652926824714736</v>
      </c>
      <c r="AU33" s="8">
        <f t="shared" si="45"/>
        <v>0</v>
      </c>
      <c r="AV33" s="38">
        <f t="shared" si="46"/>
        <v>69.195348186484381</v>
      </c>
      <c r="AW33" s="38">
        <f t="shared" si="47"/>
        <v>8.3723285594531376</v>
      </c>
      <c r="AX33" s="4">
        <f t="shared" si="48"/>
        <v>350</v>
      </c>
      <c r="AY33" s="5">
        <f t="shared" si="49"/>
        <v>2.5942500198766076</v>
      </c>
      <c r="AZ33" s="8">
        <f t="shared" si="50"/>
        <v>460.0070341833499</v>
      </c>
      <c r="BA33" s="8">
        <f t="shared" si="51"/>
        <v>359339.09482266562</v>
      </c>
      <c r="BB33" s="3">
        <f t="shared" si="52"/>
        <v>3593390948.226656</v>
      </c>
      <c r="BC33" s="5">
        <f t="shared" si="53"/>
        <v>3.5933909482266562</v>
      </c>
      <c r="BD33" s="3">
        <f t="shared" si="54"/>
        <v>0.5</v>
      </c>
      <c r="BE33" s="3">
        <f t="shared" si="55"/>
        <v>11.74</v>
      </c>
      <c r="BF33" s="3">
        <f t="shared" si="56"/>
        <v>0.33600000000000002</v>
      </c>
      <c r="BG33" s="5">
        <f t="shared" si="57"/>
        <v>3.3529999335</v>
      </c>
      <c r="BH33" s="8">
        <f t="shared" si="58"/>
        <v>0</v>
      </c>
      <c r="BI33" s="8">
        <f t="shared" si="59"/>
        <v>1.1218063142999999</v>
      </c>
      <c r="BJ33" s="8">
        <f t="shared" si="60"/>
        <v>49.895832343749994</v>
      </c>
      <c r="BK33" s="8">
        <f t="shared" si="61"/>
        <v>149.68749703124999</v>
      </c>
      <c r="BL33" s="3">
        <f t="shared" si="62"/>
        <v>0</v>
      </c>
      <c r="BM33" s="3">
        <f t="shared" si="63"/>
        <v>0</v>
      </c>
      <c r="BN33" s="9">
        <f t="shared" si="64"/>
        <v>4</v>
      </c>
      <c r="BO33" s="3">
        <f t="shared" si="65"/>
        <v>350</v>
      </c>
      <c r="BP33" s="3">
        <f t="shared" si="66"/>
        <v>1003.4910918342573</v>
      </c>
      <c r="BQ33" s="3">
        <f t="shared" si="67"/>
        <v>0</v>
      </c>
      <c r="BR33" s="3">
        <f t="shared" si="68"/>
        <v>3.5000000000000003E-2</v>
      </c>
      <c r="BS33" s="9">
        <f t="shared" si="69"/>
        <v>0.12576868318793297</v>
      </c>
      <c r="BT33" s="3">
        <f t="shared" si="70"/>
        <v>125768.68318793297</v>
      </c>
      <c r="BU33" s="8">
        <f t="shared" si="71"/>
        <v>37.509300829794654</v>
      </c>
      <c r="BV33" s="10">
        <f t="shared" si="72"/>
        <v>66.543204994071928</v>
      </c>
      <c r="BW33" s="10">
        <f t="shared" si="73"/>
        <v>199.62961498221577</v>
      </c>
      <c r="BX33" s="8">
        <f t="shared" si="74"/>
        <v>13.283397224675619</v>
      </c>
      <c r="BY33" s="8">
        <f t="shared" si="75"/>
        <v>1.6659023534114614</v>
      </c>
      <c r="BZ33" s="8">
        <f t="shared" si="76"/>
        <v>0</v>
      </c>
      <c r="CA33" s="8">
        <f t="shared" si="77"/>
        <v>49.711025656250008</v>
      </c>
      <c r="CB33" s="8">
        <f t="shared" si="78"/>
        <v>0</v>
      </c>
      <c r="CC33" s="8">
        <f>Table4[[#This Row],[sed_del_kg_with_BP]]-Table4[[#This Row],[sed_del_kg_no_drain_BP]]</f>
        <v>0</v>
      </c>
      <c r="CD33" s="8">
        <f>Table4[[#This Row],[Disp_offset_m]]-Table4[[#This Row],[Disp_offset_m31]]</f>
        <v>19.484322530234373</v>
      </c>
      <c r="CE33" s="8">
        <f>Table4[[#This Row],[Gull_offset_m]]-Table4[[#This Row],[Gull_offset_m32]]</f>
        <v>8.3723285594531376</v>
      </c>
    </row>
    <row r="34" spans="1:83" x14ac:dyDescent="0.4">
      <c r="A34" s="21">
        <v>78</v>
      </c>
      <c r="B34" s="21" t="s">
        <v>94</v>
      </c>
      <c r="C34" s="21">
        <v>93.388644999999997</v>
      </c>
      <c r="D34" s="21">
        <v>619847.80000000005</v>
      </c>
      <c r="E34" s="21">
        <v>6081674.5999999996</v>
      </c>
      <c r="F34" s="21">
        <v>794.2</v>
      </c>
      <c r="G34" s="21">
        <v>14</v>
      </c>
      <c r="H34" s="21">
        <v>0</v>
      </c>
      <c r="I34" s="21">
        <v>28.81</v>
      </c>
      <c r="J34" s="21">
        <v>0</v>
      </c>
      <c r="K34" s="21">
        <v>100</v>
      </c>
      <c r="L34" s="21">
        <v>5.6</v>
      </c>
      <c r="M34" s="21">
        <v>100</v>
      </c>
      <c r="N34" s="21">
        <v>1</v>
      </c>
      <c r="O34" s="35">
        <v>15</v>
      </c>
      <c r="P34" s="21">
        <v>90</v>
      </c>
      <c r="Q34" s="4">
        <v>781.16</v>
      </c>
      <c r="R34" s="4">
        <v>30.899999619999999</v>
      </c>
      <c r="S34" s="4">
        <f t="shared" si="17"/>
        <v>161.33599999999998</v>
      </c>
      <c r="T34" s="5">
        <f t="shared" si="18"/>
        <v>2.9294544238463396</v>
      </c>
      <c r="U34" s="8">
        <f t="shared" si="19"/>
        <v>488.39549515554648</v>
      </c>
      <c r="V34" s="8">
        <f t="shared" si="20"/>
        <v>381515.02499570668</v>
      </c>
      <c r="W34" s="3">
        <f t="shared" si="21"/>
        <v>3815150249.957067</v>
      </c>
      <c r="X34" s="5">
        <f t="shared" si="22"/>
        <v>3.8151502499570671</v>
      </c>
      <c r="Y34" s="3">
        <f t="shared" si="23"/>
        <v>0.5</v>
      </c>
      <c r="Z34" s="3">
        <f t="shared" si="24"/>
        <v>11.74</v>
      </c>
      <c r="AA34" s="3">
        <f t="shared" si="25"/>
        <v>0.33600000000000002</v>
      </c>
      <c r="AB34" s="5">
        <f t="shared" si="26"/>
        <v>1.5455988493461599</v>
      </c>
      <c r="AC34" s="8">
        <f t="shared" si="27"/>
        <v>0</v>
      </c>
      <c r="AD34" s="8">
        <f t="shared" si="28"/>
        <v>0</v>
      </c>
      <c r="AE34" s="8">
        <f t="shared" si="29"/>
        <v>22.999982877174997</v>
      </c>
      <c r="AF34" s="8">
        <f t="shared" si="30"/>
        <v>68.999948631524987</v>
      </c>
      <c r="AG34" s="3">
        <f t="shared" si="31"/>
        <v>0</v>
      </c>
      <c r="AH34" s="3">
        <f t="shared" si="32"/>
        <v>1</v>
      </c>
      <c r="AI34" s="9">
        <f t="shared" si="33"/>
        <v>15</v>
      </c>
      <c r="AJ34" s="3">
        <f t="shared" si="34"/>
        <v>161.33599999999998</v>
      </c>
      <c r="AK34" s="3">
        <f t="shared" si="35"/>
        <v>270.45923136093916</v>
      </c>
      <c r="AL34" s="3">
        <f t="shared" si="36"/>
        <v>0</v>
      </c>
      <c r="AM34" s="3">
        <f t="shared" si="37"/>
        <v>1.6133599999999998E-2</v>
      </c>
      <c r="AN34" s="9">
        <f t="shared" si="38"/>
        <v>6.1552108072707327E-2</v>
      </c>
      <c r="AO34" s="3">
        <f t="shared" si="39"/>
        <v>61552.108072707328</v>
      </c>
      <c r="AP34" s="8">
        <f t="shared" si="40"/>
        <v>39.824116133850602</v>
      </c>
      <c r="AQ34" s="10">
        <f t="shared" si="41"/>
        <v>135.345963079938</v>
      </c>
      <c r="AR34" s="10">
        <f t="shared" si="42"/>
        <v>406.03788923981404</v>
      </c>
      <c r="AS34" s="8">
        <f t="shared" si="43"/>
        <v>4.8214544601017622</v>
      </c>
      <c r="AT34" s="8">
        <f t="shared" si="44"/>
        <v>7.0671110512632182E-2</v>
      </c>
      <c r="AU34" s="8">
        <f t="shared" si="45"/>
        <v>0</v>
      </c>
      <c r="AV34" s="38">
        <f t="shared" si="46"/>
        <v>70.388662122824996</v>
      </c>
      <c r="AW34" s="38">
        <f t="shared" si="47"/>
        <v>24.38869636847501</v>
      </c>
      <c r="AX34" s="4">
        <f t="shared" si="48"/>
        <v>560</v>
      </c>
      <c r="AY34" s="5">
        <f t="shared" si="49"/>
        <v>2.9294544238463396</v>
      </c>
      <c r="AZ34" s="8">
        <f t="shared" si="50"/>
        <v>488.39549515554648</v>
      </c>
      <c r="BA34" s="8">
        <f t="shared" si="51"/>
        <v>381515.02499570668</v>
      </c>
      <c r="BB34" s="3">
        <f t="shared" si="52"/>
        <v>3815150249.957067</v>
      </c>
      <c r="BC34" s="5">
        <f t="shared" si="53"/>
        <v>3.8151502499570671</v>
      </c>
      <c r="BD34" s="3">
        <f t="shared" si="54"/>
        <v>0.5</v>
      </c>
      <c r="BE34" s="3">
        <f t="shared" si="55"/>
        <v>11.74</v>
      </c>
      <c r="BF34" s="3">
        <f t="shared" si="56"/>
        <v>0.33600000000000002</v>
      </c>
      <c r="BG34" s="5">
        <f t="shared" si="57"/>
        <v>5.3647998936000008</v>
      </c>
      <c r="BH34" s="8">
        <f t="shared" si="58"/>
        <v>0</v>
      </c>
      <c r="BI34" s="8">
        <f t="shared" si="59"/>
        <v>3.2728942456000008</v>
      </c>
      <c r="BJ34" s="8">
        <f t="shared" si="60"/>
        <v>79.833331749999999</v>
      </c>
      <c r="BK34" s="8">
        <f t="shared" si="61"/>
        <v>239.49999524999998</v>
      </c>
      <c r="BL34" s="3">
        <f t="shared" si="62"/>
        <v>1</v>
      </c>
      <c r="BM34" s="3">
        <f t="shared" si="63"/>
        <v>1</v>
      </c>
      <c r="BN34" s="9">
        <f t="shared" si="64"/>
        <v>15</v>
      </c>
      <c r="BO34" s="3">
        <f t="shared" si="65"/>
        <v>560</v>
      </c>
      <c r="BP34" s="3">
        <f t="shared" si="66"/>
        <v>270.45923136093916</v>
      </c>
      <c r="BQ34" s="3">
        <f t="shared" si="67"/>
        <v>3.2728942456000008</v>
      </c>
      <c r="BR34" s="3">
        <f t="shared" si="68"/>
        <v>5.6000000000000001E-2</v>
      </c>
      <c r="BS34" s="9">
        <f t="shared" si="69"/>
        <v>0.21364841399759577</v>
      </c>
      <c r="BT34" s="3">
        <f t="shared" si="70"/>
        <v>213648.41399759575</v>
      </c>
      <c r="BU34" s="8">
        <f t="shared" si="71"/>
        <v>39.824116133850602</v>
      </c>
      <c r="BV34" s="10">
        <f t="shared" si="72"/>
        <v>38.993171963330134</v>
      </c>
      <c r="BW34" s="10">
        <f t="shared" si="73"/>
        <v>116.97951588999041</v>
      </c>
      <c r="BX34" s="8">
        <f t="shared" si="74"/>
        <v>21.675426058908876</v>
      </c>
      <c r="BY34" s="8">
        <f t="shared" si="75"/>
        <v>6.4211177949847107</v>
      </c>
      <c r="BZ34" s="8">
        <f t="shared" si="76"/>
        <v>70.941377219131169</v>
      </c>
      <c r="CA34" s="8">
        <f t="shared" si="77"/>
        <v>13.555313249999998</v>
      </c>
      <c r="CB34" s="8">
        <f t="shared" si="78"/>
        <v>0</v>
      </c>
      <c r="CC34" s="8">
        <f>Table4[[#This Row],[sed_del_kg_with_BP]]-Table4[[#This Row],[sed_del_kg_no_drain_BP]]</f>
        <v>70.941377219131169</v>
      </c>
      <c r="CD34" s="8">
        <f>Table4[[#This Row],[Disp_offset_m]]-Table4[[#This Row],[Disp_offset_m31]]</f>
        <v>56.833348872824999</v>
      </c>
      <c r="CE34" s="8">
        <f>Table4[[#This Row],[Gull_offset_m]]-Table4[[#This Row],[Gull_offset_m32]]</f>
        <v>24.38869636847501</v>
      </c>
    </row>
    <row r="35" spans="1:83" x14ac:dyDescent="0.4">
      <c r="A35" s="21">
        <v>105</v>
      </c>
      <c r="B35" s="21" t="s">
        <v>94</v>
      </c>
      <c r="C35" s="21">
        <v>57.874946000000001</v>
      </c>
      <c r="D35" s="21">
        <v>620290.6</v>
      </c>
      <c r="E35" s="21">
        <v>6082307.7999999998</v>
      </c>
      <c r="F35" s="21">
        <v>794.8</v>
      </c>
      <c r="G35" s="21">
        <v>10</v>
      </c>
      <c r="H35" s="21">
        <v>0</v>
      </c>
      <c r="I35" s="21">
        <v>38.15</v>
      </c>
      <c r="J35" s="21">
        <v>0</v>
      </c>
      <c r="K35" s="21">
        <v>100</v>
      </c>
      <c r="L35" s="21">
        <v>2.8</v>
      </c>
      <c r="M35" s="21">
        <v>100</v>
      </c>
      <c r="N35" s="21">
        <v>0</v>
      </c>
      <c r="O35" s="35">
        <v>6</v>
      </c>
      <c r="P35" s="21">
        <v>90</v>
      </c>
      <c r="Q35" s="4">
        <v>781.16</v>
      </c>
      <c r="R35" s="4">
        <v>30.899999619999999</v>
      </c>
      <c r="S35" s="4">
        <f t="shared" si="17"/>
        <v>106.82</v>
      </c>
      <c r="T35" s="5">
        <f t="shared" si="18"/>
        <v>2.4803708090655769</v>
      </c>
      <c r="U35" s="8">
        <f t="shared" si="19"/>
        <v>450.36260381976365</v>
      </c>
      <c r="V35" s="8">
        <f t="shared" si="20"/>
        <v>351805.25159984658</v>
      </c>
      <c r="W35" s="3">
        <f t="shared" si="21"/>
        <v>3518052515.998466</v>
      </c>
      <c r="X35" s="5">
        <f t="shared" si="22"/>
        <v>3.5180525159984661</v>
      </c>
      <c r="Y35" s="3">
        <f t="shared" si="23"/>
        <v>0.5</v>
      </c>
      <c r="Z35" s="3">
        <f t="shared" si="24"/>
        <v>11.74</v>
      </c>
      <c r="AA35" s="3">
        <f t="shared" si="25"/>
        <v>0.33600000000000002</v>
      </c>
      <c r="AB35" s="5">
        <f t="shared" si="26"/>
        <v>1.0233355797042001</v>
      </c>
      <c r="AC35" s="8">
        <f t="shared" si="27"/>
        <v>0</v>
      </c>
      <c r="AD35" s="8">
        <f t="shared" si="28"/>
        <v>0</v>
      </c>
      <c r="AE35" s="8">
        <f t="shared" si="29"/>
        <v>15.228208031312501</v>
      </c>
      <c r="AF35" s="8">
        <f t="shared" si="30"/>
        <v>45.684624093937501</v>
      </c>
      <c r="AG35" s="3">
        <f t="shared" si="31"/>
        <v>0</v>
      </c>
      <c r="AH35" s="3">
        <f t="shared" si="32"/>
        <v>0</v>
      </c>
      <c r="AI35" s="9">
        <f t="shared" si="33"/>
        <v>6</v>
      </c>
      <c r="AJ35" s="3">
        <f t="shared" si="34"/>
        <v>106.82</v>
      </c>
      <c r="AK35" s="3">
        <f t="shared" si="35"/>
        <v>669.67405634539386</v>
      </c>
      <c r="AL35" s="3">
        <f t="shared" si="36"/>
        <v>0</v>
      </c>
      <c r="AM35" s="3">
        <f t="shared" si="37"/>
        <v>1.0681999999999999E-2</v>
      </c>
      <c r="AN35" s="9">
        <f t="shared" si="38"/>
        <v>3.7579836975895613E-2</v>
      </c>
      <c r="AO35" s="3">
        <f t="shared" si="39"/>
        <v>37579.836975895611</v>
      </c>
      <c r="AP35" s="8">
        <f t="shared" si="40"/>
        <v>36.722887116617443</v>
      </c>
      <c r="AQ35" s="10">
        <f t="shared" si="41"/>
        <v>126.68364279630835</v>
      </c>
      <c r="AR35" s="10">
        <f t="shared" si="42"/>
        <v>380.050928388925</v>
      </c>
      <c r="AS35" s="8">
        <f t="shared" si="43"/>
        <v>5.0892748776088839</v>
      </c>
      <c r="AT35" s="8">
        <f t="shared" si="44"/>
        <v>9.7744896125909073E-2</v>
      </c>
      <c r="AU35" s="8">
        <f t="shared" si="45"/>
        <v>0</v>
      </c>
      <c r="AV35" s="38">
        <f t="shared" si="46"/>
        <v>42.646737968687503</v>
      </c>
      <c r="AW35" s="38">
        <f t="shared" si="47"/>
        <v>12.190321906062501</v>
      </c>
      <c r="AX35" s="4">
        <f t="shared" si="48"/>
        <v>280</v>
      </c>
      <c r="AY35" s="5">
        <f t="shared" si="49"/>
        <v>2.4803708090655769</v>
      </c>
      <c r="AZ35" s="8">
        <f t="shared" si="50"/>
        <v>450.36260381976365</v>
      </c>
      <c r="BA35" s="8">
        <f t="shared" si="51"/>
        <v>351805.25159984658</v>
      </c>
      <c r="BB35" s="3">
        <f t="shared" si="52"/>
        <v>3518052515.998466</v>
      </c>
      <c r="BC35" s="5">
        <f t="shared" si="53"/>
        <v>3.5180525159984661</v>
      </c>
      <c r="BD35" s="3">
        <f t="shared" si="54"/>
        <v>0.5</v>
      </c>
      <c r="BE35" s="3">
        <f t="shared" si="55"/>
        <v>11.74</v>
      </c>
      <c r="BF35" s="3">
        <f t="shared" si="56"/>
        <v>0.33600000000000002</v>
      </c>
      <c r="BG35" s="5">
        <f t="shared" si="57"/>
        <v>2.6823999468000004</v>
      </c>
      <c r="BH35" s="8">
        <f t="shared" si="58"/>
        <v>0</v>
      </c>
      <c r="BI35" s="8">
        <f t="shared" si="59"/>
        <v>1.3860011564000001</v>
      </c>
      <c r="BJ35" s="8">
        <f t="shared" si="60"/>
        <v>39.916665875</v>
      </c>
      <c r="BK35" s="8">
        <f t="shared" si="61"/>
        <v>119.74999762499999</v>
      </c>
      <c r="BL35" s="3">
        <f t="shared" si="62"/>
        <v>0</v>
      </c>
      <c r="BM35" s="3">
        <f t="shared" si="63"/>
        <v>0</v>
      </c>
      <c r="BN35" s="9">
        <f t="shared" si="64"/>
        <v>6</v>
      </c>
      <c r="BO35" s="3">
        <f t="shared" si="65"/>
        <v>280</v>
      </c>
      <c r="BP35" s="3">
        <f t="shared" si="66"/>
        <v>669.67405634539386</v>
      </c>
      <c r="BQ35" s="3">
        <f t="shared" si="67"/>
        <v>0</v>
      </c>
      <c r="BR35" s="3">
        <f t="shared" si="68"/>
        <v>2.8000000000000001E-2</v>
      </c>
      <c r="BS35" s="9">
        <f t="shared" si="69"/>
        <v>9.8505470447957058E-2</v>
      </c>
      <c r="BT35" s="3">
        <f t="shared" si="70"/>
        <v>98505.47044795705</v>
      </c>
      <c r="BU35" s="8">
        <f t="shared" si="71"/>
        <v>36.722887116617443</v>
      </c>
      <c r="BV35" s="10">
        <f t="shared" si="72"/>
        <v>48.329809726791638</v>
      </c>
      <c r="BW35" s="10">
        <f t="shared" si="73"/>
        <v>144.98942918037488</v>
      </c>
      <c r="BX35" s="8">
        <f t="shared" si="74"/>
        <v>17.278365263667386</v>
      </c>
      <c r="BY35" s="8">
        <f t="shared" si="75"/>
        <v>3.8250253420452469</v>
      </c>
      <c r="BZ35" s="8">
        <f t="shared" si="76"/>
        <v>0</v>
      </c>
      <c r="CA35" s="8">
        <f t="shared" si="77"/>
        <v>17.958280125000002</v>
      </c>
      <c r="CB35" s="8">
        <f t="shared" si="78"/>
        <v>0</v>
      </c>
      <c r="CC35" s="8">
        <f>Table4[[#This Row],[sed_del_kg_with_BP]]-Table4[[#This Row],[sed_del_kg_no_drain_BP]]</f>
        <v>0</v>
      </c>
      <c r="CD35" s="8">
        <f>Table4[[#This Row],[Disp_offset_m]]-Table4[[#This Row],[Disp_offset_m31]]</f>
        <v>24.688457843687502</v>
      </c>
      <c r="CE35" s="8">
        <f>Table4[[#This Row],[Gull_offset_m]]-Table4[[#This Row],[Gull_offset_m32]]</f>
        <v>12.190321906062501</v>
      </c>
    </row>
    <row r="36" spans="1:83" x14ac:dyDescent="0.4">
      <c r="A36" s="21">
        <v>104</v>
      </c>
      <c r="B36" s="21" t="s">
        <v>94</v>
      </c>
      <c r="C36" s="21">
        <v>58.627426</v>
      </c>
      <c r="D36" s="21">
        <v>620281.69999999995</v>
      </c>
      <c r="E36" s="21">
        <v>6082270.7000000002</v>
      </c>
      <c r="F36" s="21">
        <v>800.9</v>
      </c>
      <c r="G36" s="21">
        <v>8</v>
      </c>
      <c r="H36" s="21">
        <v>0</v>
      </c>
      <c r="I36" s="21">
        <v>22.14</v>
      </c>
      <c r="J36" s="21">
        <v>0</v>
      </c>
      <c r="K36" s="21">
        <v>100</v>
      </c>
      <c r="L36" s="21">
        <v>3.8</v>
      </c>
      <c r="M36" s="21">
        <v>100</v>
      </c>
      <c r="N36" s="21">
        <v>1</v>
      </c>
      <c r="O36" s="35">
        <v>7</v>
      </c>
      <c r="P36" s="21">
        <v>90</v>
      </c>
      <c r="Q36" s="4">
        <v>781.16</v>
      </c>
      <c r="R36" s="4">
        <v>30.899999619999999</v>
      </c>
      <c r="S36" s="4">
        <f t="shared" si="17"/>
        <v>84.132000000000005</v>
      </c>
      <c r="T36" s="5">
        <f t="shared" si="18"/>
        <v>2.2523775068692409</v>
      </c>
      <c r="U36" s="8">
        <f t="shared" si="19"/>
        <v>431.053851056756</v>
      </c>
      <c r="V36" s="8">
        <f t="shared" si="20"/>
        <v>336722.02629149548</v>
      </c>
      <c r="W36" s="3">
        <f t="shared" si="21"/>
        <v>3367220262.9149547</v>
      </c>
      <c r="X36" s="5">
        <f t="shared" si="22"/>
        <v>3.3672202629149548</v>
      </c>
      <c r="Y36" s="3">
        <f t="shared" si="23"/>
        <v>0.5</v>
      </c>
      <c r="Z36" s="3">
        <f t="shared" si="24"/>
        <v>11.74</v>
      </c>
      <c r="AA36" s="3">
        <f t="shared" si="25"/>
        <v>0.33600000000000002</v>
      </c>
      <c r="AB36" s="5">
        <f t="shared" si="26"/>
        <v>0.80598454401492003</v>
      </c>
      <c r="AC36" s="8">
        <f t="shared" si="27"/>
        <v>0</v>
      </c>
      <c r="AD36" s="8">
        <f t="shared" si="28"/>
        <v>0</v>
      </c>
      <c r="AE36" s="8">
        <f t="shared" si="29"/>
        <v>11.993817619269642</v>
      </c>
      <c r="AF36" s="8">
        <f t="shared" si="30"/>
        <v>35.981452857808925</v>
      </c>
      <c r="AG36" s="3">
        <f t="shared" si="31"/>
        <v>0</v>
      </c>
      <c r="AH36" s="3">
        <f t="shared" si="32"/>
        <v>1</v>
      </c>
      <c r="AI36" s="9">
        <f t="shared" si="33"/>
        <v>7</v>
      </c>
      <c r="AJ36" s="3">
        <f t="shared" si="34"/>
        <v>84.132000000000005</v>
      </c>
      <c r="AK36" s="3">
        <f t="shared" si="35"/>
        <v>574.38563336875552</v>
      </c>
      <c r="AL36" s="3">
        <f t="shared" si="36"/>
        <v>0</v>
      </c>
      <c r="AM36" s="3">
        <f t="shared" si="37"/>
        <v>8.4132000000000009E-3</v>
      </c>
      <c r="AN36" s="9">
        <f t="shared" si="38"/>
        <v>2.8329097515956102E-2</v>
      </c>
      <c r="AO36" s="3">
        <f t="shared" si="39"/>
        <v>28329.097515956099</v>
      </c>
      <c r="AP36" s="8">
        <f t="shared" si="40"/>
        <v>35.14843767950925</v>
      </c>
      <c r="AQ36" s="10">
        <f t="shared" si="41"/>
        <v>162.93790645887248</v>
      </c>
      <c r="AR36" s="10">
        <f t="shared" si="42"/>
        <v>488.81371937661743</v>
      </c>
      <c r="AS36" s="8">
        <f t="shared" si="43"/>
        <v>2.7669588507701022</v>
      </c>
      <c r="AT36" s="8">
        <f t="shared" si="44"/>
        <v>1.7147312001744415E-2</v>
      </c>
      <c r="AU36" s="8">
        <f t="shared" si="45"/>
        <v>0</v>
      </c>
      <c r="AV36" s="38">
        <f t="shared" si="46"/>
        <v>46.633608380730358</v>
      </c>
      <c r="AW36" s="38">
        <f t="shared" si="47"/>
        <v>22.645973142191075</v>
      </c>
      <c r="AX36" s="4">
        <f t="shared" si="48"/>
        <v>380</v>
      </c>
      <c r="AY36" s="5">
        <f t="shared" si="49"/>
        <v>2.2523775068692409</v>
      </c>
      <c r="AZ36" s="8">
        <f t="shared" si="50"/>
        <v>431.053851056756</v>
      </c>
      <c r="BA36" s="8">
        <f t="shared" si="51"/>
        <v>336722.02629149548</v>
      </c>
      <c r="BB36" s="3">
        <f t="shared" si="52"/>
        <v>3367220262.9149547</v>
      </c>
      <c r="BC36" s="5">
        <f t="shared" si="53"/>
        <v>3.3672202629149548</v>
      </c>
      <c r="BD36" s="3">
        <f t="shared" si="54"/>
        <v>0.5</v>
      </c>
      <c r="BE36" s="3">
        <f t="shared" si="55"/>
        <v>11.74</v>
      </c>
      <c r="BF36" s="3">
        <f t="shared" si="56"/>
        <v>0.33600000000000002</v>
      </c>
      <c r="BG36" s="5">
        <f t="shared" si="57"/>
        <v>3.6403999278000003</v>
      </c>
      <c r="BH36" s="8">
        <f t="shared" si="58"/>
        <v>0</v>
      </c>
      <c r="BI36" s="8">
        <f t="shared" si="59"/>
        <v>2.3271455854000003</v>
      </c>
      <c r="BJ36" s="8">
        <f t="shared" si="60"/>
        <v>54.172617973214287</v>
      </c>
      <c r="BK36" s="8">
        <f t="shared" si="61"/>
        <v>162.51785391964285</v>
      </c>
      <c r="BL36" s="3">
        <f t="shared" si="62"/>
        <v>0</v>
      </c>
      <c r="BM36" s="3">
        <f t="shared" si="63"/>
        <v>1</v>
      </c>
      <c r="BN36" s="9">
        <f t="shared" si="64"/>
        <v>7</v>
      </c>
      <c r="BO36" s="3">
        <f t="shared" si="65"/>
        <v>380</v>
      </c>
      <c r="BP36" s="3">
        <f t="shared" si="66"/>
        <v>574.38563336875552</v>
      </c>
      <c r="BQ36" s="3">
        <f t="shared" si="67"/>
        <v>2.3271455854000003</v>
      </c>
      <c r="BR36" s="3">
        <f t="shared" si="68"/>
        <v>3.7999999999999999E-2</v>
      </c>
      <c r="BS36" s="9">
        <f t="shared" si="69"/>
        <v>0.12795436999076829</v>
      </c>
      <c r="BT36" s="3">
        <f t="shared" si="70"/>
        <v>127954.36999076829</v>
      </c>
      <c r="BU36" s="8">
        <f t="shared" si="71"/>
        <v>35.14843767950925</v>
      </c>
      <c r="BV36" s="10">
        <f t="shared" si="72"/>
        <v>36.074452489994364</v>
      </c>
      <c r="BW36" s="10">
        <f t="shared" si="73"/>
        <v>108.22335746998309</v>
      </c>
      <c r="BX36" s="8">
        <f t="shared" si="74"/>
        <v>20.021740560359554</v>
      </c>
      <c r="BY36" s="8">
        <f t="shared" si="75"/>
        <v>6.4967093411079651</v>
      </c>
      <c r="BZ36" s="8">
        <f t="shared" si="76"/>
        <v>46.593505157064861</v>
      </c>
      <c r="CA36" s="8">
        <f t="shared" si="77"/>
        <v>4.4548080267857131</v>
      </c>
      <c r="CB36" s="8">
        <f t="shared" si="78"/>
        <v>0</v>
      </c>
      <c r="CC36" s="8">
        <f>Table4[[#This Row],[sed_del_kg_with_BP]]-Table4[[#This Row],[sed_del_kg_no_drain_BP]]</f>
        <v>46.593505157064861</v>
      </c>
      <c r="CD36" s="8">
        <f>Table4[[#This Row],[Disp_offset_m]]-Table4[[#This Row],[Disp_offset_m31]]</f>
        <v>42.178800353944645</v>
      </c>
      <c r="CE36" s="8">
        <f>Table4[[#This Row],[Gull_offset_m]]-Table4[[#This Row],[Gull_offset_m32]]</f>
        <v>22.645973142191075</v>
      </c>
    </row>
    <row r="37" spans="1:83" x14ac:dyDescent="0.4">
      <c r="A37" s="21">
        <v>84</v>
      </c>
      <c r="B37" s="21" t="s">
        <v>94</v>
      </c>
      <c r="C37" s="21">
        <v>38.736944999999999</v>
      </c>
      <c r="D37" s="21">
        <v>619946.19999999995</v>
      </c>
      <c r="E37" s="21">
        <v>6081814.2999999998</v>
      </c>
      <c r="F37" s="21">
        <v>802.8</v>
      </c>
      <c r="G37" s="21">
        <v>14</v>
      </c>
      <c r="H37" s="21">
        <v>0</v>
      </c>
      <c r="I37" s="21">
        <v>17.850000000000001</v>
      </c>
      <c r="J37" s="21">
        <v>0</v>
      </c>
      <c r="K37" s="21">
        <v>100</v>
      </c>
      <c r="L37" s="21">
        <v>3.8</v>
      </c>
      <c r="M37" s="21">
        <v>100</v>
      </c>
      <c r="N37" s="21">
        <v>0</v>
      </c>
      <c r="O37" s="35">
        <v>14</v>
      </c>
      <c r="P37" s="21">
        <v>90</v>
      </c>
      <c r="Q37" s="4">
        <v>781.16</v>
      </c>
      <c r="R37" s="4">
        <v>30.899999619999999</v>
      </c>
      <c r="S37" s="4">
        <f t="shared" si="17"/>
        <v>67.83</v>
      </c>
      <c r="T37" s="5">
        <f t="shared" si="18"/>
        <v>2.9294544238463396</v>
      </c>
      <c r="U37" s="8">
        <f t="shared" si="19"/>
        <v>488.39549515554648</v>
      </c>
      <c r="V37" s="8">
        <f t="shared" si="20"/>
        <v>381515.02499570668</v>
      </c>
      <c r="W37" s="3">
        <f t="shared" si="21"/>
        <v>3815150249.957067</v>
      </c>
      <c r="X37" s="5">
        <f t="shared" si="22"/>
        <v>3.8151502499570671</v>
      </c>
      <c r="Y37" s="3">
        <f t="shared" si="23"/>
        <v>0.5</v>
      </c>
      <c r="Z37" s="3">
        <f t="shared" si="24"/>
        <v>11.74</v>
      </c>
      <c r="AA37" s="3">
        <f t="shared" si="25"/>
        <v>0.33600000000000002</v>
      </c>
      <c r="AB37" s="5">
        <f t="shared" si="26"/>
        <v>0.64981138711230002</v>
      </c>
      <c r="AC37" s="8">
        <f t="shared" si="27"/>
        <v>0</v>
      </c>
      <c r="AD37" s="8">
        <f t="shared" si="28"/>
        <v>0</v>
      </c>
      <c r="AE37" s="8">
        <f t="shared" si="29"/>
        <v>9.6698123082187504</v>
      </c>
      <c r="AF37" s="8">
        <f t="shared" si="30"/>
        <v>29.009436924656249</v>
      </c>
      <c r="AG37" s="3">
        <f t="shared" si="31"/>
        <v>0</v>
      </c>
      <c r="AH37" s="3">
        <f t="shared" si="32"/>
        <v>0</v>
      </c>
      <c r="AI37" s="9">
        <f t="shared" si="33"/>
        <v>14</v>
      </c>
      <c r="AJ37" s="3">
        <f t="shared" si="34"/>
        <v>67.83</v>
      </c>
      <c r="AK37" s="3">
        <f t="shared" si="35"/>
        <v>289.34958461071244</v>
      </c>
      <c r="AL37" s="3">
        <f t="shared" si="36"/>
        <v>0</v>
      </c>
      <c r="AM37" s="3">
        <f t="shared" si="37"/>
        <v>6.783E-3</v>
      </c>
      <c r="AN37" s="9">
        <f t="shared" si="38"/>
        <v>2.5878164145458786E-2</v>
      </c>
      <c r="AO37" s="3">
        <f t="shared" si="39"/>
        <v>25878.164145458788</v>
      </c>
      <c r="AP37" s="8">
        <f t="shared" si="40"/>
        <v>39.824116133850602</v>
      </c>
      <c r="AQ37" s="10">
        <f t="shared" si="41"/>
        <v>133.53221953465757</v>
      </c>
      <c r="AR37" s="10">
        <f t="shared" si="42"/>
        <v>400.59665860397268</v>
      </c>
      <c r="AS37" s="8">
        <f t="shared" si="43"/>
        <v>4.9598229129131903</v>
      </c>
      <c r="AT37" s="8">
        <f t="shared" si="44"/>
        <v>7.6931857811752741E-2</v>
      </c>
      <c r="AU37" s="8">
        <f t="shared" si="45"/>
        <v>0</v>
      </c>
      <c r="AV37" s="38">
        <f t="shared" si="46"/>
        <v>29.067132691781246</v>
      </c>
      <c r="AW37" s="38">
        <f t="shared" si="47"/>
        <v>9.7275080753437493</v>
      </c>
      <c r="AX37" s="4">
        <f t="shared" si="48"/>
        <v>380</v>
      </c>
      <c r="AY37" s="5">
        <f t="shared" si="49"/>
        <v>2.9294544238463396</v>
      </c>
      <c r="AZ37" s="8">
        <f t="shared" si="50"/>
        <v>488.39549515554648</v>
      </c>
      <c r="BA37" s="8">
        <f t="shared" si="51"/>
        <v>381515.02499570668</v>
      </c>
      <c r="BB37" s="3">
        <f t="shared" si="52"/>
        <v>3815150249.957067</v>
      </c>
      <c r="BC37" s="5">
        <f t="shared" si="53"/>
        <v>3.8151502499570671</v>
      </c>
      <c r="BD37" s="3">
        <f t="shared" si="54"/>
        <v>0.5</v>
      </c>
      <c r="BE37" s="3">
        <f t="shared" si="55"/>
        <v>11.74</v>
      </c>
      <c r="BF37" s="3">
        <f t="shared" si="56"/>
        <v>0.33600000000000002</v>
      </c>
      <c r="BG37" s="5">
        <f t="shared" si="57"/>
        <v>3.6403999278000003</v>
      </c>
      <c r="BH37" s="8">
        <f t="shared" si="58"/>
        <v>1.0372772238000003</v>
      </c>
      <c r="BI37" s="8">
        <f t="shared" si="59"/>
        <v>2.7726923598000006</v>
      </c>
      <c r="BJ37" s="8">
        <f t="shared" si="60"/>
        <v>54.172617973214287</v>
      </c>
      <c r="BK37" s="8">
        <f t="shared" si="61"/>
        <v>162.51785391964285</v>
      </c>
      <c r="BL37" s="3">
        <f t="shared" si="62"/>
        <v>1</v>
      </c>
      <c r="BM37" s="3">
        <f t="shared" si="63"/>
        <v>0</v>
      </c>
      <c r="BN37" s="9">
        <f t="shared" si="64"/>
        <v>14</v>
      </c>
      <c r="BO37" s="3">
        <f t="shared" si="65"/>
        <v>380</v>
      </c>
      <c r="BP37" s="3">
        <f t="shared" si="66"/>
        <v>289.34958461071244</v>
      </c>
      <c r="BQ37" s="3">
        <f t="shared" si="67"/>
        <v>1.0372772238000003</v>
      </c>
      <c r="BR37" s="3">
        <f t="shared" si="68"/>
        <v>3.7999999999999999E-2</v>
      </c>
      <c r="BS37" s="9">
        <f t="shared" si="69"/>
        <v>0.14497570949836855</v>
      </c>
      <c r="BT37" s="3">
        <f t="shared" si="70"/>
        <v>144975.70949836855</v>
      </c>
      <c r="BU37" s="8">
        <f t="shared" si="71"/>
        <v>39.824116133850602</v>
      </c>
      <c r="BV37" s="10">
        <f t="shared" si="72"/>
        <v>23.835501186936376</v>
      </c>
      <c r="BW37" s="10">
        <f t="shared" si="73"/>
        <v>71.506503560809136</v>
      </c>
      <c r="BX37" s="8">
        <f t="shared" si="74"/>
        <v>27.457485958289123</v>
      </c>
      <c r="BY37" s="8">
        <f t="shared" si="75"/>
        <v>13.052389314580621</v>
      </c>
      <c r="BZ37" s="8">
        <f t="shared" si="76"/>
        <v>13.538946152184975</v>
      </c>
      <c r="CA37" s="8">
        <f t="shared" si="77"/>
        <v>0</v>
      </c>
      <c r="CB37" s="8">
        <f t="shared" si="78"/>
        <v>0</v>
      </c>
      <c r="CC37" s="8">
        <f>Table4[[#This Row],[sed_del_kg_with_BP]]-Table4[[#This Row],[sed_del_kg_no_drain_BP]]</f>
        <v>13.538946152184975</v>
      </c>
      <c r="CD37" s="8">
        <f>Table4[[#This Row],[Disp_offset_m]]-Table4[[#This Row],[Disp_offset_m31]]</f>
        <v>29.067132691781246</v>
      </c>
      <c r="CE37" s="8">
        <f>Table4[[#This Row],[Gull_offset_m]]-Table4[[#This Row],[Gull_offset_m32]]</f>
        <v>9.7275080753437493</v>
      </c>
    </row>
    <row r="38" spans="1:83" x14ac:dyDescent="0.4">
      <c r="A38" s="21">
        <v>79</v>
      </c>
      <c r="B38" s="21" t="s">
        <v>94</v>
      </c>
      <c r="C38" s="21">
        <v>81.495073000000005</v>
      </c>
      <c r="D38" s="21">
        <v>619854.4</v>
      </c>
      <c r="E38" s="21">
        <v>6081700.2999999998</v>
      </c>
      <c r="F38" s="21">
        <v>803.6</v>
      </c>
      <c r="G38" s="21">
        <v>23</v>
      </c>
      <c r="H38" s="21">
        <v>0</v>
      </c>
      <c r="I38" s="21">
        <v>7.34</v>
      </c>
      <c r="J38" s="21">
        <v>0</v>
      </c>
      <c r="K38" s="21">
        <v>100</v>
      </c>
      <c r="L38" s="21">
        <v>4.5999999999999996</v>
      </c>
      <c r="M38" s="21">
        <v>100</v>
      </c>
      <c r="N38" s="21">
        <v>0</v>
      </c>
      <c r="O38" s="35">
        <v>30</v>
      </c>
      <c r="P38" s="21">
        <v>90</v>
      </c>
      <c r="Q38" s="4">
        <v>781.16</v>
      </c>
      <c r="R38" s="4">
        <v>30.899999619999999</v>
      </c>
      <c r="S38" s="4">
        <f t="shared" si="17"/>
        <v>33.763999999999996</v>
      </c>
      <c r="T38" s="5">
        <f t="shared" si="18"/>
        <v>3.787561691319218</v>
      </c>
      <c r="U38" s="8">
        <f t="shared" si="19"/>
        <v>561.0685996378246</v>
      </c>
      <c r="V38" s="8">
        <f t="shared" si="20"/>
        <v>438284.34729308303</v>
      </c>
      <c r="W38" s="3">
        <f t="shared" si="21"/>
        <v>4382843472.93083</v>
      </c>
      <c r="X38" s="5">
        <f t="shared" si="22"/>
        <v>4.3828434729308299</v>
      </c>
      <c r="Y38" s="3">
        <f t="shared" si="23"/>
        <v>0.5</v>
      </c>
      <c r="Z38" s="3">
        <f t="shared" si="24"/>
        <v>11.74</v>
      </c>
      <c r="AA38" s="3">
        <f t="shared" si="25"/>
        <v>0.33600000000000002</v>
      </c>
      <c r="AB38" s="5">
        <f t="shared" si="26"/>
        <v>0.32345911358483997</v>
      </c>
      <c r="AC38" s="8">
        <f t="shared" si="27"/>
        <v>0</v>
      </c>
      <c r="AD38" s="8">
        <f t="shared" si="28"/>
        <v>0</v>
      </c>
      <c r="AE38" s="8">
        <f t="shared" si="29"/>
        <v>4.8133796664410706</v>
      </c>
      <c r="AF38" s="8">
        <f t="shared" si="30"/>
        <v>14.440138999323212</v>
      </c>
      <c r="AG38" s="3">
        <f t="shared" si="31"/>
        <v>0</v>
      </c>
      <c r="AH38" s="3">
        <f t="shared" si="32"/>
        <v>0</v>
      </c>
      <c r="AI38" s="9">
        <f t="shared" si="33"/>
        <v>30</v>
      </c>
      <c r="AJ38" s="3">
        <f t="shared" si="34"/>
        <v>33.763999999999996</v>
      </c>
      <c r="AK38" s="3">
        <f t="shared" si="35"/>
        <v>140.00000000000003</v>
      </c>
      <c r="AL38" s="3">
        <f t="shared" si="36"/>
        <v>0</v>
      </c>
      <c r="AM38" s="3">
        <f t="shared" si="37"/>
        <v>3.3763999999999995E-3</v>
      </c>
      <c r="AN38" s="9">
        <f t="shared" si="38"/>
        <v>1.4798232702003651E-2</v>
      </c>
      <c r="AO38" s="3">
        <f t="shared" si="39"/>
        <v>14798.23270200365</v>
      </c>
      <c r="AP38" s="8">
        <f t="shared" si="40"/>
        <v>45.749932775111702</v>
      </c>
      <c r="AQ38" s="10">
        <f t="shared" si="41"/>
        <v>564.36487906258765</v>
      </c>
      <c r="AR38" s="10">
        <f t="shared" si="42"/>
        <v>1693.0946371877631</v>
      </c>
      <c r="AS38" s="8">
        <f t="shared" si="43"/>
        <v>6.867866383635372E-3</v>
      </c>
      <c r="AT38" s="8">
        <f t="shared" si="44"/>
        <v>1.5476921906331253E-10</v>
      </c>
      <c r="AU38" s="8">
        <f t="shared" si="45"/>
        <v>0</v>
      </c>
      <c r="AV38" s="38">
        <f t="shared" si="46"/>
        <v>76.68169333355894</v>
      </c>
      <c r="AW38" s="38">
        <f t="shared" si="47"/>
        <v>67.054934000676795</v>
      </c>
      <c r="AX38" s="4">
        <f t="shared" si="48"/>
        <v>459.99999999999994</v>
      </c>
      <c r="AY38" s="5">
        <f t="shared" si="49"/>
        <v>3.787561691319218</v>
      </c>
      <c r="AZ38" s="8">
        <f t="shared" si="50"/>
        <v>561.0685996378246</v>
      </c>
      <c r="BA38" s="8">
        <f t="shared" si="51"/>
        <v>438284.34729308303</v>
      </c>
      <c r="BB38" s="3">
        <f t="shared" si="52"/>
        <v>4382843472.93083</v>
      </c>
      <c r="BC38" s="5">
        <f t="shared" si="53"/>
        <v>4.3828434729308299</v>
      </c>
      <c r="BD38" s="3">
        <f t="shared" si="54"/>
        <v>0.5</v>
      </c>
      <c r="BE38" s="3">
        <f t="shared" si="55"/>
        <v>11.74</v>
      </c>
      <c r="BF38" s="3">
        <f t="shared" si="56"/>
        <v>0.33600000000000002</v>
      </c>
      <c r="BG38" s="5">
        <f t="shared" si="57"/>
        <v>4.4067999125999995</v>
      </c>
      <c r="BH38" s="8">
        <f t="shared" si="58"/>
        <v>0</v>
      </c>
      <c r="BI38" s="8">
        <f t="shared" si="59"/>
        <v>2.5813102773999992</v>
      </c>
      <c r="BJ38" s="8">
        <f t="shared" si="60"/>
        <v>65.577379651785705</v>
      </c>
      <c r="BK38" s="8">
        <f t="shared" si="61"/>
        <v>196.73213895535713</v>
      </c>
      <c r="BL38" s="3">
        <f t="shared" si="62"/>
        <v>1</v>
      </c>
      <c r="BM38" s="3">
        <f t="shared" si="63"/>
        <v>0</v>
      </c>
      <c r="BN38" s="9">
        <f t="shared" si="64"/>
        <v>30</v>
      </c>
      <c r="BO38" s="3">
        <f t="shared" si="65"/>
        <v>459.99999999999994</v>
      </c>
      <c r="BP38" s="3">
        <f t="shared" si="66"/>
        <v>140.00000000000003</v>
      </c>
      <c r="BQ38" s="3">
        <f t="shared" si="67"/>
        <v>0</v>
      </c>
      <c r="BR38" s="3">
        <f t="shared" si="68"/>
        <v>4.5999999999999992E-2</v>
      </c>
      <c r="BS38" s="9">
        <f t="shared" si="69"/>
        <v>0.20161079975481813</v>
      </c>
      <c r="BT38" s="3">
        <f t="shared" si="70"/>
        <v>201610.79975481814</v>
      </c>
      <c r="BU38" s="8">
        <f t="shared" si="71"/>
        <v>45.749932775111709</v>
      </c>
      <c r="BV38" s="10">
        <f t="shared" si="72"/>
        <v>41.424382123193929</v>
      </c>
      <c r="BW38" s="10">
        <f t="shared" si="73"/>
        <v>124.2731463695818</v>
      </c>
      <c r="BX38" s="8">
        <f t="shared" si="74"/>
        <v>23.974001232677235</v>
      </c>
      <c r="BY38" s="8">
        <f t="shared" si="75"/>
        <v>6.5832545726444351</v>
      </c>
      <c r="BZ38" s="8">
        <f t="shared" si="76"/>
        <v>0</v>
      </c>
      <c r="CA38" s="8">
        <f t="shared" si="77"/>
        <v>15.9176933482143</v>
      </c>
      <c r="CB38" s="8">
        <f t="shared" si="78"/>
        <v>0</v>
      </c>
      <c r="CC38" s="8">
        <f>Table4[[#This Row],[sed_del_kg_with_BP]]-Table4[[#This Row],[sed_del_kg_no_drain_BP]]</f>
        <v>0</v>
      </c>
      <c r="CD38" s="8">
        <f>Table4[[#This Row],[Disp_offset_m]]-Table4[[#This Row],[Disp_offset_m31]]</f>
        <v>60.76399998534464</v>
      </c>
      <c r="CE38" s="8">
        <f>Table4[[#This Row],[Gull_offset_m]]-Table4[[#This Row],[Gull_offset_m32]]</f>
        <v>67.054934000676795</v>
      </c>
    </row>
    <row r="39" spans="1:83" x14ac:dyDescent="0.4">
      <c r="A39" s="21">
        <v>88</v>
      </c>
      <c r="B39" s="21" t="s">
        <v>94</v>
      </c>
      <c r="C39" s="21">
        <v>10.406696999999999</v>
      </c>
      <c r="D39" s="21">
        <v>619994.5</v>
      </c>
      <c r="E39" s="21">
        <v>6081893.7000000002</v>
      </c>
      <c r="F39" s="21">
        <v>803.8</v>
      </c>
      <c r="G39" s="21">
        <v>6</v>
      </c>
      <c r="H39" s="21">
        <v>0</v>
      </c>
      <c r="I39" s="21">
        <v>44.47</v>
      </c>
      <c r="J39" s="21">
        <v>0</v>
      </c>
      <c r="K39" s="21">
        <v>100</v>
      </c>
      <c r="L39" s="21">
        <v>3.8</v>
      </c>
      <c r="M39" s="21">
        <v>100</v>
      </c>
      <c r="N39" s="21">
        <v>1</v>
      </c>
      <c r="O39" s="35">
        <v>5</v>
      </c>
      <c r="P39" s="21">
        <v>90</v>
      </c>
      <c r="Q39" s="4">
        <v>781.16</v>
      </c>
      <c r="R39" s="4">
        <v>30.899999619999999</v>
      </c>
      <c r="S39" s="4">
        <f t="shared" si="17"/>
        <v>168.98599999999999</v>
      </c>
      <c r="T39" s="5">
        <f t="shared" si="18"/>
        <v>2.0274507831327977</v>
      </c>
      <c r="U39" s="8">
        <f t="shared" si="19"/>
        <v>412.00480682351662</v>
      </c>
      <c r="V39" s="8">
        <f t="shared" si="20"/>
        <v>321841.67489825824</v>
      </c>
      <c r="W39" s="3">
        <f t="shared" si="21"/>
        <v>3218416748.9825826</v>
      </c>
      <c r="X39" s="5">
        <f t="shared" si="22"/>
        <v>3.2184167489825826</v>
      </c>
      <c r="Y39" s="3">
        <f t="shared" si="23"/>
        <v>0.5</v>
      </c>
      <c r="Z39" s="3">
        <f t="shared" si="24"/>
        <v>11.74</v>
      </c>
      <c r="AA39" s="3">
        <f t="shared" si="25"/>
        <v>0.33600000000000002</v>
      </c>
      <c r="AB39" s="5">
        <f t="shared" si="26"/>
        <v>1.61888584789266</v>
      </c>
      <c r="AC39" s="8">
        <f t="shared" si="27"/>
        <v>0.91955580949265991</v>
      </c>
      <c r="AD39" s="8">
        <f t="shared" si="28"/>
        <v>1.3857758350926601</v>
      </c>
      <c r="AE39" s="8">
        <f t="shared" si="29"/>
        <v>24.090563212688394</v>
      </c>
      <c r="AF39" s="8">
        <f t="shared" si="30"/>
        <v>72.271689638065183</v>
      </c>
      <c r="AG39" s="3">
        <f t="shared" si="31"/>
        <v>0</v>
      </c>
      <c r="AH39" s="3">
        <f t="shared" si="32"/>
        <v>1</v>
      </c>
      <c r="AI39" s="9">
        <f t="shared" si="33"/>
        <v>5</v>
      </c>
      <c r="AJ39" s="3">
        <f t="shared" si="34"/>
        <v>168.98599999999999</v>
      </c>
      <c r="AK39" s="3">
        <f t="shared" si="35"/>
        <v>803.15992719688995</v>
      </c>
      <c r="AL39" s="3">
        <f t="shared" si="36"/>
        <v>1.3857758350926601</v>
      </c>
      <c r="AM39" s="3">
        <f t="shared" si="37"/>
        <v>1.68986E-2</v>
      </c>
      <c r="AN39" s="9">
        <f t="shared" si="38"/>
        <v>5.4386737274357069E-2</v>
      </c>
      <c r="AO39" s="3">
        <f t="shared" si="39"/>
        <v>54386.737274357067</v>
      </c>
      <c r="AP39" s="8">
        <f t="shared" si="40"/>
        <v>33.595165060682632</v>
      </c>
      <c r="AQ39" s="10">
        <f t="shared" si="41"/>
        <v>14.399410131569468</v>
      </c>
      <c r="AR39" s="10">
        <f t="shared" si="42"/>
        <v>43.198230394708403</v>
      </c>
      <c r="AS39" s="8">
        <f t="shared" si="43"/>
        <v>26.836190317786151</v>
      </c>
      <c r="AT39" s="8">
        <f t="shared" si="44"/>
        <v>17.124150300941764</v>
      </c>
      <c r="AU39" s="8">
        <f t="shared" si="45"/>
        <v>37.188944048335664</v>
      </c>
      <c r="AV39" s="38">
        <f t="shared" si="46"/>
        <v>0</v>
      </c>
      <c r="AW39" s="38">
        <f t="shared" si="47"/>
        <v>0</v>
      </c>
      <c r="AX39" s="4">
        <f t="shared" si="48"/>
        <v>380</v>
      </c>
      <c r="AY39" s="5">
        <f t="shared" si="49"/>
        <v>2.0274507831327977</v>
      </c>
      <c r="AZ39" s="8">
        <f t="shared" si="50"/>
        <v>412.00480682351662</v>
      </c>
      <c r="BA39" s="8">
        <f t="shared" si="51"/>
        <v>321841.67489825824</v>
      </c>
      <c r="BB39" s="3">
        <f t="shared" si="52"/>
        <v>3218416748.9825826</v>
      </c>
      <c r="BC39" s="5">
        <f t="shared" si="53"/>
        <v>3.2184167489825826</v>
      </c>
      <c r="BD39" s="3">
        <f t="shared" si="54"/>
        <v>0.5</v>
      </c>
      <c r="BE39" s="3">
        <f t="shared" si="55"/>
        <v>11.74</v>
      </c>
      <c r="BF39" s="3">
        <f t="shared" si="56"/>
        <v>0.33600000000000002</v>
      </c>
      <c r="BG39" s="5">
        <f t="shared" si="57"/>
        <v>3.6403999278000003</v>
      </c>
      <c r="BH39" s="8">
        <f t="shared" si="58"/>
        <v>2.9410698894000005</v>
      </c>
      <c r="BI39" s="8">
        <f t="shared" si="59"/>
        <v>3.4072899150000002</v>
      </c>
      <c r="BJ39" s="8">
        <f t="shared" si="60"/>
        <v>54.172617973214287</v>
      </c>
      <c r="BK39" s="8">
        <f t="shared" si="61"/>
        <v>162.51785391964285</v>
      </c>
      <c r="BL39" s="3">
        <f t="shared" si="62"/>
        <v>0</v>
      </c>
      <c r="BM39" s="3">
        <f t="shared" si="63"/>
        <v>1</v>
      </c>
      <c r="BN39" s="9">
        <f t="shared" si="64"/>
        <v>5</v>
      </c>
      <c r="BO39" s="3">
        <f t="shared" si="65"/>
        <v>380</v>
      </c>
      <c r="BP39" s="3">
        <f t="shared" si="66"/>
        <v>803.15992719688995</v>
      </c>
      <c r="BQ39" s="3">
        <f t="shared" si="67"/>
        <v>3.4072899150000002</v>
      </c>
      <c r="BR39" s="3">
        <f t="shared" si="68"/>
        <v>3.7999999999999999E-2</v>
      </c>
      <c r="BS39" s="9">
        <f t="shared" si="69"/>
        <v>0.12229983646133813</v>
      </c>
      <c r="BT39" s="3">
        <f t="shared" si="70"/>
        <v>122299.83646133813</v>
      </c>
      <c r="BU39" s="8">
        <f t="shared" si="71"/>
        <v>33.595165060682632</v>
      </c>
      <c r="BV39" s="10">
        <f t="shared" si="72"/>
        <v>6.4034176855089431</v>
      </c>
      <c r="BW39" s="10">
        <f t="shared" si="73"/>
        <v>19.210253056526827</v>
      </c>
      <c r="BX39" s="8">
        <f t="shared" si="74"/>
        <v>30.401405585777233</v>
      </c>
      <c r="BY39" s="8">
        <f t="shared" si="75"/>
        <v>24.895877111996658</v>
      </c>
      <c r="BZ39" s="8">
        <f t="shared" si="76"/>
        <v>103.58640265424344</v>
      </c>
      <c r="CA39" s="8">
        <f t="shared" si="77"/>
        <v>0</v>
      </c>
      <c r="CB39" s="8">
        <f t="shared" si="78"/>
        <v>0</v>
      </c>
      <c r="CC39" s="8">
        <f>Table4[[#This Row],[sed_del_kg_with_BP]]-Table4[[#This Row],[sed_del_kg_no_drain_BP]]</f>
        <v>66.397458605907786</v>
      </c>
      <c r="CD39" s="8">
        <f>Table4[[#This Row],[Disp_offset_m]]-Table4[[#This Row],[Disp_offset_m31]]</f>
        <v>0</v>
      </c>
      <c r="CE39" s="8">
        <f>Table4[[#This Row],[Gull_offset_m]]-Table4[[#This Row],[Gull_offset_m32]]</f>
        <v>0</v>
      </c>
    </row>
    <row r="40" spans="1:83" x14ac:dyDescent="0.4">
      <c r="A40" s="21">
        <v>103</v>
      </c>
      <c r="B40" s="21" t="s">
        <v>94</v>
      </c>
      <c r="C40" s="21">
        <v>77.504437999999993</v>
      </c>
      <c r="D40" s="21">
        <v>620275</v>
      </c>
      <c r="E40" s="21">
        <v>6082249.5999999996</v>
      </c>
      <c r="F40" s="21">
        <v>804.2</v>
      </c>
      <c r="G40" s="21">
        <v>14</v>
      </c>
      <c r="H40" s="21">
        <v>0</v>
      </c>
      <c r="I40" s="21">
        <v>22.57</v>
      </c>
      <c r="J40" s="21">
        <v>0</v>
      </c>
      <c r="K40" s="21">
        <v>100</v>
      </c>
      <c r="L40" s="21">
        <v>4.4000000000000004</v>
      </c>
      <c r="M40" s="21">
        <v>100</v>
      </c>
      <c r="N40" s="21">
        <v>1</v>
      </c>
      <c r="O40" s="35">
        <v>7</v>
      </c>
      <c r="P40" s="21">
        <v>90</v>
      </c>
      <c r="Q40" s="4">
        <v>781.16</v>
      </c>
      <c r="R40" s="4">
        <v>30.899999619999999</v>
      </c>
      <c r="S40" s="4">
        <f t="shared" si="17"/>
        <v>99.308000000000007</v>
      </c>
      <c r="T40" s="5">
        <f t="shared" si="18"/>
        <v>2.9294544238463396</v>
      </c>
      <c r="U40" s="8">
        <f t="shared" si="19"/>
        <v>488.39549515554648</v>
      </c>
      <c r="V40" s="8">
        <f t="shared" si="20"/>
        <v>381515.02499570668</v>
      </c>
      <c r="W40" s="3">
        <f t="shared" si="21"/>
        <v>3815150249.957067</v>
      </c>
      <c r="X40" s="5">
        <f t="shared" si="22"/>
        <v>3.8151502499570671</v>
      </c>
      <c r="Y40" s="3">
        <f t="shared" si="23"/>
        <v>0.5</v>
      </c>
      <c r="Z40" s="3">
        <f t="shared" si="24"/>
        <v>11.74</v>
      </c>
      <c r="AA40" s="3">
        <f t="shared" si="25"/>
        <v>0.33600000000000002</v>
      </c>
      <c r="AB40" s="5">
        <f t="shared" si="26"/>
        <v>0.95137062113148008</v>
      </c>
      <c r="AC40" s="8">
        <f t="shared" si="27"/>
        <v>0</v>
      </c>
      <c r="AD40" s="8">
        <f t="shared" si="28"/>
        <v>0</v>
      </c>
      <c r="AE40" s="8">
        <f t="shared" si="29"/>
        <v>14.157300909694644</v>
      </c>
      <c r="AF40" s="8">
        <f t="shared" si="30"/>
        <v>42.471902729083936</v>
      </c>
      <c r="AG40" s="3">
        <f t="shared" si="31"/>
        <v>0</v>
      </c>
      <c r="AH40" s="3">
        <f t="shared" si="32"/>
        <v>1</v>
      </c>
      <c r="AI40" s="9">
        <f t="shared" si="33"/>
        <v>7</v>
      </c>
      <c r="AJ40" s="3">
        <f t="shared" si="34"/>
        <v>99.308000000000007</v>
      </c>
      <c r="AK40" s="3">
        <f t="shared" si="35"/>
        <v>574.38563336875552</v>
      </c>
      <c r="AL40" s="3">
        <f t="shared" si="36"/>
        <v>0</v>
      </c>
      <c r="AM40" s="3">
        <f t="shared" si="37"/>
        <v>9.9308E-3</v>
      </c>
      <c r="AN40" s="9">
        <f t="shared" si="38"/>
        <v>3.7887494102273642E-2</v>
      </c>
      <c r="AO40" s="3">
        <f t="shared" si="39"/>
        <v>37887.494102273646</v>
      </c>
      <c r="AP40" s="8">
        <f t="shared" si="40"/>
        <v>39.824116133850602</v>
      </c>
      <c r="AQ40" s="10">
        <f t="shared" si="41"/>
        <v>182.48402595565011</v>
      </c>
      <c r="AR40" s="10">
        <f t="shared" si="42"/>
        <v>547.45207786695028</v>
      </c>
      <c r="AS40" s="8">
        <f t="shared" si="43"/>
        <v>2.3110959676496248</v>
      </c>
      <c r="AT40" s="8">
        <f t="shared" si="44"/>
        <v>7.7832619652366125E-3</v>
      </c>
      <c r="AU40" s="8">
        <f t="shared" si="45"/>
        <v>0</v>
      </c>
      <c r="AV40" s="38">
        <f t="shared" si="46"/>
        <v>63.347137090305353</v>
      </c>
      <c r="AW40" s="38">
        <f t="shared" si="47"/>
        <v>35.032535270916057</v>
      </c>
      <c r="AX40" s="4">
        <f t="shared" si="48"/>
        <v>440.00000000000006</v>
      </c>
      <c r="AY40" s="5">
        <f t="shared" si="49"/>
        <v>2.9294544238463396</v>
      </c>
      <c r="AZ40" s="8">
        <f t="shared" si="50"/>
        <v>488.39549515554648</v>
      </c>
      <c r="BA40" s="8">
        <f t="shared" si="51"/>
        <v>381515.02499570668</v>
      </c>
      <c r="BB40" s="3">
        <f t="shared" si="52"/>
        <v>3815150249.957067</v>
      </c>
      <c r="BC40" s="5">
        <f t="shared" si="53"/>
        <v>3.8151502499570671</v>
      </c>
      <c r="BD40" s="3">
        <f t="shared" si="54"/>
        <v>0.5</v>
      </c>
      <c r="BE40" s="3">
        <f t="shared" si="55"/>
        <v>11.74</v>
      </c>
      <c r="BF40" s="3">
        <f t="shared" si="56"/>
        <v>0.33600000000000002</v>
      </c>
      <c r="BG40" s="5">
        <f t="shared" si="57"/>
        <v>4.2151999164000005</v>
      </c>
      <c r="BH40" s="8">
        <f t="shared" si="58"/>
        <v>0</v>
      </c>
      <c r="BI40" s="8">
        <f t="shared" si="59"/>
        <v>2.4791005052000004</v>
      </c>
      <c r="BJ40" s="8">
        <f t="shared" si="60"/>
        <v>62.726189232142858</v>
      </c>
      <c r="BK40" s="8">
        <f t="shared" si="61"/>
        <v>188.17856769642856</v>
      </c>
      <c r="BL40" s="3">
        <f t="shared" si="62"/>
        <v>0</v>
      </c>
      <c r="BM40" s="3">
        <f t="shared" si="63"/>
        <v>1</v>
      </c>
      <c r="BN40" s="9">
        <f t="shared" si="64"/>
        <v>7</v>
      </c>
      <c r="BO40" s="3">
        <f t="shared" si="65"/>
        <v>440.00000000000006</v>
      </c>
      <c r="BP40" s="3">
        <f t="shared" si="66"/>
        <v>574.38563336875552</v>
      </c>
      <c r="BQ40" s="3">
        <f t="shared" si="67"/>
        <v>2.4791005052000004</v>
      </c>
      <c r="BR40" s="3">
        <f t="shared" si="68"/>
        <v>4.4000000000000004E-2</v>
      </c>
      <c r="BS40" s="9">
        <f t="shared" si="69"/>
        <v>0.16786661099811098</v>
      </c>
      <c r="BT40" s="3">
        <f t="shared" si="70"/>
        <v>167866.61099811099</v>
      </c>
      <c r="BU40" s="8">
        <f t="shared" si="71"/>
        <v>39.824116133850602</v>
      </c>
      <c r="BV40" s="10">
        <f t="shared" si="72"/>
        <v>41.186644658190232</v>
      </c>
      <c r="BW40" s="10">
        <f t="shared" si="73"/>
        <v>123.5599339745707</v>
      </c>
      <c r="BX40" s="8">
        <f t="shared" si="74"/>
        <v>20.94627874660852</v>
      </c>
      <c r="BY40" s="8">
        <f t="shared" si="75"/>
        <v>5.7946651456196454</v>
      </c>
      <c r="BZ40" s="8">
        <f t="shared" si="76"/>
        <v>51.927930222777213</v>
      </c>
      <c r="CA40" s="8">
        <f t="shared" si="77"/>
        <v>14.778248767857136</v>
      </c>
      <c r="CB40" s="8">
        <f t="shared" si="78"/>
        <v>0</v>
      </c>
      <c r="CC40" s="8">
        <f>Table4[[#This Row],[sed_del_kg_with_BP]]-Table4[[#This Row],[sed_del_kg_no_drain_BP]]</f>
        <v>51.927930222777213</v>
      </c>
      <c r="CD40" s="8">
        <f>Table4[[#This Row],[Disp_offset_m]]-Table4[[#This Row],[Disp_offset_m31]]</f>
        <v>48.568888322448217</v>
      </c>
      <c r="CE40" s="8">
        <f>Table4[[#This Row],[Gull_offset_m]]-Table4[[#This Row],[Gull_offset_m32]]</f>
        <v>35.032535270916057</v>
      </c>
    </row>
    <row r="41" spans="1:83" x14ac:dyDescent="0.4">
      <c r="A41" s="21">
        <v>80</v>
      </c>
      <c r="B41" s="21" t="s">
        <v>94</v>
      </c>
      <c r="C41" s="21">
        <v>106.590699</v>
      </c>
      <c r="D41" s="21">
        <v>619857.4</v>
      </c>
      <c r="E41" s="21">
        <v>6081707</v>
      </c>
      <c r="F41" s="21">
        <v>806.2</v>
      </c>
      <c r="G41" s="21">
        <v>16</v>
      </c>
      <c r="H41" s="21">
        <v>0</v>
      </c>
      <c r="I41" s="21">
        <v>38.5</v>
      </c>
      <c r="J41" s="21">
        <v>0</v>
      </c>
      <c r="K41" s="21">
        <v>100</v>
      </c>
      <c r="L41" s="21">
        <v>3.8</v>
      </c>
      <c r="M41" s="21">
        <v>100</v>
      </c>
      <c r="N41" s="21">
        <v>1</v>
      </c>
      <c r="O41" s="35">
        <v>11</v>
      </c>
      <c r="P41" s="21">
        <v>90</v>
      </c>
      <c r="Q41" s="4">
        <v>781.16</v>
      </c>
      <c r="R41" s="4">
        <v>30.899999619999999</v>
      </c>
      <c r="S41" s="4">
        <f t="shared" si="17"/>
        <v>146.29999999999998</v>
      </c>
      <c r="T41" s="5">
        <f t="shared" si="18"/>
        <v>3.1430387596364455</v>
      </c>
      <c r="U41" s="8">
        <f t="shared" si="19"/>
        <v>506.48395255361049</v>
      </c>
      <c r="V41" s="8">
        <f t="shared" si="20"/>
        <v>395645.00437677838</v>
      </c>
      <c r="W41" s="3">
        <f t="shared" si="21"/>
        <v>3956450043.7677836</v>
      </c>
      <c r="X41" s="5">
        <f t="shared" si="22"/>
        <v>3.9564500437677834</v>
      </c>
      <c r="Y41" s="3">
        <f t="shared" si="23"/>
        <v>0.5</v>
      </c>
      <c r="Z41" s="3">
        <f t="shared" si="24"/>
        <v>11.74</v>
      </c>
      <c r="AA41" s="3">
        <f t="shared" si="25"/>
        <v>0.33600000000000002</v>
      </c>
      <c r="AB41" s="5">
        <f t="shared" si="26"/>
        <v>1.4015539722029999</v>
      </c>
      <c r="AC41" s="8">
        <f t="shared" si="27"/>
        <v>0</v>
      </c>
      <c r="AD41" s="8">
        <f t="shared" si="28"/>
        <v>0</v>
      </c>
      <c r="AE41" s="8">
        <f t="shared" si="29"/>
        <v>20.856457919687497</v>
      </c>
      <c r="AF41" s="8">
        <f t="shared" si="30"/>
        <v>62.569373759062486</v>
      </c>
      <c r="AG41" s="3">
        <f t="shared" si="31"/>
        <v>0</v>
      </c>
      <c r="AH41" s="3">
        <f t="shared" si="32"/>
        <v>1</v>
      </c>
      <c r="AI41" s="9">
        <f t="shared" si="33"/>
        <v>11</v>
      </c>
      <c r="AJ41" s="3">
        <f t="shared" si="34"/>
        <v>146.29999999999998</v>
      </c>
      <c r="AK41" s="3">
        <f t="shared" si="35"/>
        <v>366.85901449174941</v>
      </c>
      <c r="AL41" s="3">
        <f t="shared" si="36"/>
        <v>0</v>
      </c>
      <c r="AM41" s="3">
        <f t="shared" si="37"/>
        <v>1.4629999999999999E-2</v>
      </c>
      <c r="AN41" s="9">
        <f t="shared" si="38"/>
        <v>5.7882864140322669E-2</v>
      </c>
      <c r="AO41" s="3">
        <f t="shared" si="39"/>
        <v>57882.864140322665</v>
      </c>
      <c r="AP41" s="8">
        <f t="shared" si="40"/>
        <v>41.299061818747397</v>
      </c>
      <c r="AQ41" s="10">
        <f t="shared" si="41"/>
        <v>170.35602659290083</v>
      </c>
      <c r="AR41" s="10">
        <f t="shared" si="42"/>
        <v>511.06807977870244</v>
      </c>
      <c r="AS41" s="8">
        <f t="shared" si="43"/>
        <v>2.8958705345587794</v>
      </c>
      <c r="AT41" s="8">
        <f t="shared" si="44"/>
        <v>1.4238264419323002E-2</v>
      </c>
      <c r="AU41" s="8">
        <f t="shared" si="45"/>
        <v>0</v>
      </c>
      <c r="AV41" s="38">
        <f t="shared" si="46"/>
        <v>85.734241080312501</v>
      </c>
      <c r="AW41" s="38">
        <f t="shared" si="47"/>
        <v>44.021325240937514</v>
      </c>
      <c r="AX41" s="4">
        <f t="shared" si="48"/>
        <v>380</v>
      </c>
      <c r="AY41" s="5">
        <f t="shared" si="49"/>
        <v>3.1430387596364455</v>
      </c>
      <c r="AZ41" s="8">
        <f t="shared" si="50"/>
        <v>506.48395255361049</v>
      </c>
      <c r="BA41" s="8">
        <f t="shared" si="51"/>
        <v>395645.00437677838</v>
      </c>
      <c r="BB41" s="3">
        <f t="shared" si="52"/>
        <v>3956450043.7677836</v>
      </c>
      <c r="BC41" s="5">
        <f t="shared" si="53"/>
        <v>3.9564500437677834</v>
      </c>
      <c r="BD41" s="3">
        <f t="shared" si="54"/>
        <v>0.5</v>
      </c>
      <c r="BE41" s="3">
        <f t="shared" si="55"/>
        <v>11.74</v>
      </c>
      <c r="BF41" s="3">
        <f t="shared" si="56"/>
        <v>0.33600000000000002</v>
      </c>
      <c r="BG41" s="5">
        <f t="shared" si="57"/>
        <v>3.6403999278000003</v>
      </c>
      <c r="BH41" s="8">
        <f t="shared" si="58"/>
        <v>0</v>
      </c>
      <c r="BI41" s="8">
        <f t="shared" si="59"/>
        <v>1.2527682701999998</v>
      </c>
      <c r="BJ41" s="8">
        <f t="shared" si="60"/>
        <v>54.172617973214287</v>
      </c>
      <c r="BK41" s="8">
        <f t="shared" si="61"/>
        <v>162.51785391964285</v>
      </c>
      <c r="BL41" s="3">
        <f t="shared" si="62"/>
        <v>1</v>
      </c>
      <c r="BM41" s="3">
        <f t="shared" si="63"/>
        <v>1</v>
      </c>
      <c r="BN41" s="9">
        <f t="shared" si="64"/>
        <v>11</v>
      </c>
      <c r="BO41" s="3">
        <f t="shared" si="65"/>
        <v>380</v>
      </c>
      <c r="BP41" s="3">
        <f t="shared" si="66"/>
        <v>366.85901449174941</v>
      </c>
      <c r="BQ41" s="3">
        <f t="shared" si="67"/>
        <v>1.2527682701999998</v>
      </c>
      <c r="BR41" s="3">
        <f t="shared" si="68"/>
        <v>3.7999999999999999E-2</v>
      </c>
      <c r="BS41" s="9">
        <f t="shared" si="69"/>
        <v>0.15034510166317577</v>
      </c>
      <c r="BT41" s="3">
        <f t="shared" si="70"/>
        <v>150345.10166317577</v>
      </c>
      <c r="BU41" s="8">
        <f t="shared" si="71"/>
        <v>41.299061818747397</v>
      </c>
      <c r="BV41" s="10">
        <f t="shared" si="72"/>
        <v>65.587070238266804</v>
      </c>
      <c r="BW41" s="10">
        <f t="shared" si="73"/>
        <v>196.76121071480043</v>
      </c>
      <c r="BX41" s="8">
        <f t="shared" si="74"/>
        <v>14.845272846529205</v>
      </c>
      <c r="BY41" s="8">
        <f t="shared" si="75"/>
        <v>1.9181571286961967</v>
      </c>
      <c r="BZ41" s="8">
        <f t="shared" si="76"/>
        <v>18.597686784593421</v>
      </c>
      <c r="CA41" s="8">
        <f t="shared" si="77"/>
        <v>52.418081026785714</v>
      </c>
      <c r="CB41" s="8">
        <f t="shared" si="78"/>
        <v>0</v>
      </c>
      <c r="CC41" s="8">
        <f>Table4[[#This Row],[sed_del_kg_with_BP]]-Table4[[#This Row],[sed_del_kg_no_drain_BP]]</f>
        <v>18.597686784593421</v>
      </c>
      <c r="CD41" s="8">
        <f>Table4[[#This Row],[Disp_offset_m]]-Table4[[#This Row],[Disp_offset_m31]]</f>
        <v>33.316160053526787</v>
      </c>
      <c r="CE41" s="8">
        <f>Table4[[#This Row],[Gull_offset_m]]-Table4[[#This Row],[Gull_offset_m32]]</f>
        <v>44.021325240937514</v>
      </c>
    </row>
    <row r="42" spans="1:83" x14ac:dyDescent="0.4">
      <c r="A42" s="21">
        <v>85</v>
      </c>
      <c r="B42" s="21" t="s">
        <v>94</v>
      </c>
      <c r="C42" s="21">
        <v>47.911650000000002</v>
      </c>
      <c r="D42" s="21">
        <v>619939.9</v>
      </c>
      <c r="E42" s="21">
        <v>6081831</v>
      </c>
      <c r="F42" s="21">
        <v>806.7</v>
      </c>
      <c r="G42" s="21">
        <v>10</v>
      </c>
      <c r="H42" s="21">
        <v>0</v>
      </c>
      <c r="I42" s="21">
        <v>20.93</v>
      </c>
      <c r="J42" s="21">
        <v>0</v>
      </c>
      <c r="K42" s="21">
        <v>100</v>
      </c>
      <c r="L42" s="21">
        <v>4.8</v>
      </c>
      <c r="M42" s="21">
        <v>100</v>
      </c>
      <c r="N42" s="21">
        <v>0</v>
      </c>
      <c r="O42" s="35">
        <v>3</v>
      </c>
      <c r="P42" s="21">
        <v>90</v>
      </c>
      <c r="Q42" s="4">
        <v>781.16</v>
      </c>
      <c r="R42" s="4">
        <v>30.899999619999999</v>
      </c>
      <c r="S42" s="4">
        <f t="shared" si="17"/>
        <v>100.464</v>
      </c>
      <c r="T42" s="5">
        <f t="shared" si="18"/>
        <v>2.4803708090655769</v>
      </c>
      <c r="U42" s="8">
        <f t="shared" si="19"/>
        <v>450.36260381976365</v>
      </c>
      <c r="V42" s="8">
        <f t="shared" si="20"/>
        <v>351805.25159984658</v>
      </c>
      <c r="W42" s="3">
        <f t="shared" si="21"/>
        <v>3518052515.998466</v>
      </c>
      <c r="X42" s="5">
        <f t="shared" si="22"/>
        <v>3.5180525159984661</v>
      </c>
      <c r="Y42" s="3">
        <f t="shared" si="23"/>
        <v>0.5</v>
      </c>
      <c r="Z42" s="3">
        <f t="shared" si="24"/>
        <v>11.74</v>
      </c>
      <c r="AA42" s="3">
        <f t="shared" si="25"/>
        <v>0.33600000000000002</v>
      </c>
      <c r="AB42" s="5">
        <f t="shared" si="26"/>
        <v>0.96244510091183999</v>
      </c>
      <c r="AC42" s="8">
        <f t="shared" si="27"/>
        <v>0</v>
      </c>
      <c r="AD42" s="8">
        <f t="shared" si="28"/>
        <v>0</v>
      </c>
      <c r="AE42" s="8">
        <f t="shared" si="29"/>
        <v>14.322099715949998</v>
      </c>
      <c r="AF42" s="8">
        <f t="shared" si="30"/>
        <v>42.966299147849995</v>
      </c>
      <c r="AG42" s="3">
        <f t="shared" si="31"/>
        <v>0</v>
      </c>
      <c r="AH42" s="3">
        <f t="shared" si="32"/>
        <v>0</v>
      </c>
      <c r="AI42" s="9">
        <f t="shared" si="33"/>
        <v>3</v>
      </c>
      <c r="AJ42" s="3">
        <f t="shared" si="34"/>
        <v>100.464</v>
      </c>
      <c r="AK42" s="3">
        <f t="shared" si="35"/>
        <v>1337.5125826508179</v>
      </c>
      <c r="AL42" s="3">
        <f t="shared" si="36"/>
        <v>0</v>
      </c>
      <c r="AM42" s="3">
        <f t="shared" si="37"/>
        <v>1.00464E-2</v>
      </c>
      <c r="AN42" s="9">
        <f t="shared" si="38"/>
        <v>3.5343762796726991E-2</v>
      </c>
      <c r="AO42" s="3">
        <f t="shared" si="39"/>
        <v>35343.762796726995</v>
      </c>
      <c r="AP42" s="8">
        <f t="shared" si="40"/>
        <v>36.722887116617457</v>
      </c>
      <c r="AQ42" s="10">
        <f t="shared" si="41"/>
        <v>111.50983666322463</v>
      </c>
      <c r="AR42" s="10">
        <f t="shared" si="42"/>
        <v>334.5295099896739</v>
      </c>
      <c r="AS42" s="8">
        <f t="shared" si="43"/>
        <v>6.448494778478155</v>
      </c>
      <c r="AT42" s="8">
        <f t="shared" si="44"/>
        <v>0.19883893218403911</v>
      </c>
      <c r="AU42" s="8">
        <f t="shared" si="45"/>
        <v>0</v>
      </c>
      <c r="AV42" s="38">
        <f t="shared" si="46"/>
        <v>33.589550284050006</v>
      </c>
      <c r="AW42" s="38">
        <f t="shared" si="47"/>
        <v>4.9453508521500069</v>
      </c>
      <c r="AX42" s="4">
        <f t="shared" si="48"/>
        <v>480</v>
      </c>
      <c r="AY42" s="5">
        <f t="shared" si="49"/>
        <v>2.4803708090655769</v>
      </c>
      <c r="AZ42" s="8">
        <f t="shared" si="50"/>
        <v>450.36260381976365</v>
      </c>
      <c r="BA42" s="8">
        <f t="shared" si="51"/>
        <v>351805.25159984658</v>
      </c>
      <c r="BB42" s="3">
        <f t="shared" si="52"/>
        <v>3518052515.998466</v>
      </c>
      <c r="BC42" s="5">
        <f t="shared" si="53"/>
        <v>3.5180525159984661</v>
      </c>
      <c r="BD42" s="3">
        <f t="shared" si="54"/>
        <v>0.5</v>
      </c>
      <c r="BE42" s="3">
        <f t="shared" si="55"/>
        <v>11.74</v>
      </c>
      <c r="BF42" s="3">
        <f t="shared" si="56"/>
        <v>0.33600000000000002</v>
      </c>
      <c r="BG42" s="5">
        <f t="shared" si="57"/>
        <v>4.5983999088000003</v>
      </c>
      <c r="BH42" s="8">
        <f t="shared" si="58"/>
        <v>1.3787370287999998</v>
      </c>
      <c r="BI42" s="8">
        <f t="shared" si="59"/>
        <v>3.5251789487999998</v>
      </c>
      <c r="BJ42" s="8">
        <f t="shared" si="60"/>
        <v>68.428570071428567</v>
      </c>
      <c r="BK42" s="8">
        <f t="shared" si="61"/>
        <v>205.2857102142857</v>
      </c>
      <c r="BL42" s="3">
        <f t="shared" si="62"/>
        <v>0</v>
      </c>
      <c r="BM42" s="3">
        <f t="shared" si="63"/>
        <v>0</v>
      </c>
      <c r="BN42" s="9">
        <f t="shared" si="64"/>
        <v>3</v>
      </c>
      <c r="BO42" s="3">
        <f t="shared" si="65"/>
        <v>480</v>
      </c>
      <c r="BP42" s="3">
        <f t="shared" si="66"/>
        <v>1337.5125826508179</v>
      </c>
      <c r="BQ42" s="3">
        <f t="shared" si="67"/>
        <v>1.3787370287999998</v>
      </c>
      <c r="BR42" s="3">
        <f t="shared" si="68"/>
        <v>4.8000000000000001E-2</v>
      </c>
      <c r="BS42" s="9">
        <f t="shared" si="69"/>
        <v>0.16886652076792638</v>
      </c>
      <c r="BT42" s="3">
        <f t="shared" si="70"/>
        <v>168866.52076792638</v>
      </c>
      <c r="BU42" s="8">
        <f t="shared" si="71"/>
        <v>36.72288711661745</v>
      </c>
      <c r="BV42" s="10">
        <f t="shared" si="72"/>
        <v>23.339008813612914</v>
      </c>
      <c r="BW42" s="10">
        <f t="shared" si="73"/>
        <v>70.017026440838734</v>
      </c>
      <c r="BX42" s="8">
        <f t="shared" si="74"/>
        <v>25.516151666779976</v>
      </c>
      <c r="BY42" s="8">
        <f t="shared" si="75"/>
        <v>12.318898853846399</v>
      </c>
      <c r="BZ42" s="8">
        <f t="shared" si="76"/>
        <v>16.984522003839906</v>
      </c>
      <c r="CA42" s="8">
        <f t="shared" si="77"/>
        <v>0</v>
      </c>
      <c r="CB42" s="8">
        <f t="shared" si="78"/>
        <v>0</v>
      </c>
      <c r="CC42" s="8">
        <f>Table4[[#This Row],[sed_del_kg_with_BP]]-Table4[[#This Row],[sed_del_kg_no_drain_BP]]</f>
        <v>16.984522003839906</v>
      </c>
      <c r="CD42" s="8">
        <f>Table4[[#This Row],[Disp_offset_m]]-Table4[[#This Row],[Disp_offset_m31]]</f>
        <v>33.589550284050006</v>
      </c>
      <c r="CE42" s="8">
        <f>Table4[[#This Row],[Gull_offset_m]]-Table4[[#This Row],[Gull_offset_m32]]</f>
        <v>4.9453508521500069</v>
      </c>
    </row>
    <row r="43" spans="1:83" x14ac:dyDescent="0.4">
      <c r="A43" s="21">
        <v>102</v>
      </c>
      <c r="B43" s="21" t="s">
        <v>94</v>
      </c>
      <c r="C43" s="21">
        <v>22.501885000000001</v>
      </c>
      <c r="D43" s="21">
        <v>620263.80000000005</v>
      </c>
      <c r="E43" s="21">
        <v>6082230</v>
      </c>
      <c r="F43" s="21">
        <v>806.9</v>
      </c>
      <c r="G43" s="21">
        <v>8</v>
      </c>
      <c r="H43" s="21">
        <v>0</v>
      </c>
      <c r="I43" s="21">
        <v>63.7</v>
      </c>
      <c r="J43" s="21">
        <v>0</v>
      </c>
      <c r="K43" s="21">
        <v>100</v>
      </c>
      <c r="L43" s="21">
        <v>4</v>
      </c>
      <c r="M43" s="21">
        <v>100</v>
      </c>
      <c r="N43" s="21">
        <v>0</v>
      </c>
      <c r="O43" s="35">
        <v>7</v>
      </c>
      <c r="P43" s="21">
        <v>90</v>
      </c>
      <c r="Q43" s="4">
        <v>781.16</v>
      </c>
      <c r="R43" s="4">
        <v>30.899999619999999</v>
      </c>
      <c r="S43" s="4">
        <f t="shared" si="17"/>
        <v>254.8</v>
      </c>
      <c r="T43" s="5">
        <f t="shared" si="18"/>
        <v>2.2523775068692409</v>
      </c>
      <c r="U43" s="8">
        <f t="shared" si="19"/>
        <v>431.053851056756</v>
      </c>
      <c r="V43" s="8">
        <f t="shared" si="20"/>
        <v>336722.02629149548</v>
      </c>
      <c r="W43" s="3">
        <f t="shared" si="21"/>
        <v>3367220262.9149547</v>
      </c>
      <c r="X43" s="5">
        <f t="shared" si="22"/>
        <v>3.3672202629149548</v>
      </c>
      <c r="Y43" s="3">
        <f t="shared" si="23"/>
        <v>0.5</v>
      </c>
      <c r="Z43" s="3">
        <f t="shared" si="24"/>
        <v>11.74</v>
      </c>
      <c r="AA43" s="3">
        <f t="shared" si="25"/>
        <v>0.33600000000000002</v>
      </c>
      <c r="AB43" s="5">
        <f t="shared" si="26"/>
        <v>2.4409839515880005</v>
      </c>
      <c r="AC43" s="8">
        <f t="shared" si="27"/>
        <v>0.92885727958800035</v>
      </c>
      <c r="AD43" s="8">
        <f t="shared" si="28"/>
        <v>1.9369417275880005</v>
      </c>
      <c r="AE43" s="8">
        <f t="shared" si="29"/>
        <v>36.324165946250005</v>
      </c>
      <c r="AF43" s="8">
        <f t="shared" si="30"/>
        <v>108.97249783875002</v>
      </c>
      <c r="AG43" s="3">
        <f t="shared" si="31"/>
        <v>0</v>
      </c>
      <c r="AH43" s="3">
        <f t="shared" si="32"/>
        <v>0</v>
      </c>
      <c r="AI43" s="9">
        <f t="shared" si="33"/>
        <v>7</v>
      </c>
      <c r="AJ43" s="3">
        <f t="shared" si="34"/>
        <v>254.8</v>
      </c>
      <c r="AK43" s="3">
        <f t="shared" si="35"/>
        <v>574.38563336875552</v>
      </c>
      <c r="AL43" s="3">
        <f t="shared" si="36"/>
        <v>0.92885727958800035</v>
      </c>
      <c r="AM43" s="3">
        <f t="shared" si="37"/>
        <v>2.5480000000000003E-2</v>
      </c>
      <c r="AN43" s="9">
        <f t="shared" si="38"/>
        <v>8.5796772299073051E-2</v>
      </c>
      <c r="AO43" s="3">
        <f t="shared" si="39"/>
        <v>85796.772299073054</v>
      </c>
      <c r="AP43" s="8">
        <f t="shared" si="40"/>
        <v>35.14843767950925</v>
      </c>
      <c r="AQ43" s="10">
        <f t="shared" si="41"/>
        <v>20.649141247819003</v>
      </c>
      <c r="AR43" s="10">
        <f t="shared" si="42"/>
        <v>61.947423743457009</v>
      </c>
      <c r="AS43" s="8">
        <f t="shared" si="43"/>
        <v>25.468784538745886</v>
      </c>
      <c r="AT43" s="8">
        <f t="shared" si="44"/>
        <v>13.372500002775242</v>
      </c>
      <c r="AU43" s="8">
        <f t="shared" si="45"/>
        <v>12.421143973868338</v>
      </c>
      <c r="AV43" s="38">
        <f t="shared" si="46"/>
        <v>0</v>
      </c>
      <c r="AW43" s="38">
        <f t="shared" si="47"/>
        <v>0</v>
      </c>
      <c r="AX43" s="4">
        <f t="shared" si="48"/>
        <v>400</v>
      </c>
      <c r="AY43" s="5">
        <f t="shared" si="49"/>
        <v>2.2523775068692409</v>
      </c>
      <c r="AZ43" s="8">
        <f t="shared" si="50"/>
        <v>431.053851056756</v>
      </c>
      <c r="BA43" s="8">
        <f t="shared" si="51"/>
        <v>336722.02629149548</v>
      </c>
      <c r="BB43" s="3">
        <f t="shared" si="52"/>
        <v>3367220262.9149547</v>
      </c>
      <c r="BC43" s="5">
        <f t="shared" si="53"/>
        <v>3.3672202629149548</v>
      </c>
      <c r="BD43" s="3">
        <f t="shared" si="54"/>
        <v>0.5</v>
      </c>
      <c r="BE43" s="3">
        <f t="shared" si="55"/>
        <v>11.74</v>
      </c>
      <c r="BF43" s="3">
        <f t="shared" si="56"/>
        <v>0.33600000000000002</v>
      </c>
      <c r="BG43" s="5">
        <f t="shared" si="57"/>
        <v>3.8319999240000002</v>
      </c>
      <c r="BH43" s="8">
        <f t="shared" si="58"/>
        <v>2.3198732519999998</v>
      </c>
      <c r="BI43" s="8">
        <f t="shared" si="59"/>
        <v>3.3279576999999998</v>
      </c>
      <c r="BJ43" s="8">
        <f t="shared" si="60"/>
        <v>57.023808392857141</v>
      </c>
      <c r="BK43" s="8">
        <f t="shared" si="61"/>
        <v>171.07142517857142</v>
      </c>
      <c r="BL43" s="3">
        <f t="shared" si="62"/>
        <v>0</v>
      </c>
      <c r="BM43" s="3">
        <f t="shared" si="63"/>
        <v>0</v>
      </c>
      <c r="BN43" s="9">
        <f t="shared" si="64"/>
        <v>7</v>
      </c>
      <c r="BO43" s="3">
        <f t="shared" si="65"/>
        <v>400</v>
      </c>
      <c r="BP43" s="3">
        <f t="shared" si="66"/>
        <v>574.38563336875552</v>
      </c>
      <c r="BQ43" s="3">
        <f t="shared" si="67"/>
        <v>2.3198732519999998</v>
      </c>
      <c r="BR43" s="3">
        <f t="shared" si="68"/>
        <v>0.04</v>
      </c>
      <c r="BS43" s="9">
        <f t="shared" si="69"/>
        <v>0.1346888105165982</v>
      </c>
      <c r="BT43" s="3">
        <f t="shared" si="70"/>
        <v>134688.8105165982</v>
      </c>
      <c r="BU43" s="8">
        <f t="shared" si="71"/>
        <v>35.14843767950925</v>
      </c>
      <c r="BV43" s="10">
        <f t="shared" si="72"/>
        <v>13.153502974860709</v>
      </c>
      <c r="BW43" s="10">
        <f t="shared" si="73"/>
        <v>39.460508924582122</v>
      </c>
      <c r="BX43" s="8">
        <f t="shared" si="74"/>
        <v>28.628007550480053</v>
      </c>
      <c r="BY43" s="8">
        <f t="shared" si="75"/>
        <v>18.991589643110629</v>
      </c>
      <c r="BZ43" s="8">
        <f t="shared" si="76"/>
        <v>44.058080826012571</v>
      </c>
      <c r="CA43" s="8">
        <f t="shared" si="77"/>
        <v>0</v>
      </c>
      <c r="CB43" s="8">
        <f t="shared" si="78"/>
        <v>0</v>
      </c>
      <c r="CC43" s="8">
        <f>Table4[[#This Row],[sed_del_kg_with_BP]]-Table4[[#This Row],[sed_del_kg_no_drain_BP]]</f>
        <v>31.636936852144231</v>
      </c>
      <c r="CD43" s="8">
        <f>Table4[[#This Row],[Disp_offset_m]]-Table4[[#This Row],[Disp_offset_m31]]</f>
        <v>0</v>
      </c>
      <c r="CE43" s="8">
        <f>Table4[[#This Row],[Gull_offset_m]]-Table4[[#This Row],[Gull_offset_m32]]</f>
        <v>0</v>
      </c>
    </row>
    <row r="44" spans="1:83" x14ac:dyDescent="0.4">
      <c r="A44" s="21">
        <v>86</v>
      </c>
      <c r="B44" s="21" t="s">
        <v>94</v>
      </c>
      <c r="C44" s="21">
        <v>4.0108709999999999</v>
      </c>
      <c r="D44" s="21">
        <v>619934.4</v>
      </c>
      <c r="E44" s="21">
        <v>6081851.2000000002</v>
      </c>
      <c r="F44" s="21">
        <v>809.3</v>
      </c>
      <c r="G44" s="21">
        <v>9</v>
      </c>
      <c r="H44" s="21">
        <v>0</v>
      </c>
      <c r="I44" s="21">
        <v>10.54</v>
      </c>
      <c r="J44" s="21">
        <v>0</v>
      </c>
      <c r="K44" s="21">
        <v>100</v>
      </c>
      <c r="L44" s="21">
        <v>3.1</v>
      </c>
      <c r="M44" s="21">
        <v>100</v>
      </c>
      <c r="N44" s="21">
        <v>0</v>
      </c>
      <c r="O44" s="35">
        <v>9</v>
      </c>
      <c r="P44" s="21">
        <v>90</v>
      </c>
      <c r="Q44" s="4">
        <v>781.16</v>
      </c>
      <c r="R44" s="4">
        <v>30.899999619999999</v>
      </c>
      <c r="S44" s="4">
        <f t="shared" si="17"/>
        <v>32.673999999999999</v>
      </c>
      <c r="T44" s="5">
        <f t="shared" si="18"/>
        <v>2.3662432634748507</v>
      </c>
      <c r="U44" s="8">
        <f t="shared" si="19"/>
        <v>440.69714198368507</v>
      </c>
      <c r="V44" s="8">
        <f t="shared" si="20"/>
        <v>344254.9794319754</v>
      </c>
      <c r="W44" s="3">
        <f t="shared" si="21"/>
        <v>3442549794.3197541</v>
      </c>
      <c r="X44" s="5">
        <f t="shared" si="22"/>
        <v>3.4425497943197541</v>
      </c>
      <c r="Y44" s="3">
        <f t="shared" si="23"/>
        <v>0.5</v>
      </c>
      <c r="Z44" s="3">
        <f t="shared" si="24"/>
        <v>11.74</v>
      </c>
      <c r="AA44" s="3">
        <f t="shared" si="25"/>
        <v>0.33600000000000002</v>
      </c>
      <c r="AB44" s="5">
        <f t="shared" si="26"/>
        <v>0.31301691379194002</v>
      </c>
      <c r="AC44" s="8">
        <f t="shared" si="27"/>
        <v>4.3486382591940043E-2</v>
      </c>
      <c r="AD44" s="8">
        <f t="shared" si="28"/>
        <v>0.22317340339194</v>
      </c>
      <c r="AE44" s="8">
        <f t="shared" si="29"/>
        <v>4.6579897885705357</v>
      </c>
      <c r="AF44" s="8">
        <f t="shared" si="30"/>
        <v>13.973969365711607</v>
      </c>
      <c r="AG44" s="3">
        <f t="shared" si="31"/>
        <v>0</v>
      </c>
      <c r="AH44" s="3">
        <f t="shared" si="32"/>
        <v>0</v>
      </c>
      <c r="AI44" s="9">
        <f t="shared" si="33"/>
        <v>9</v>
      </c>
      <c r="AJ44" s="3">
        <f t="shared" si="34"/>
        <v>32.673999999999999</v>
      </c>
      <c r="AK44" s="3">
        <f t="shared" si="35"/>
        <v>447.47172550497629</v>
      </c>
      <c r="AL44" s="3">
        <f t="shared" si="36"/>
        <v>4.3486382591940043E-2</v>
      </c>
      <c r="AM44" s="3">
        <f t="shared" si="37"/>
        <v>3.2674000000000002E-3</v>
      </c>
      <c r="AN44" s="9">
        <f t="shared" si="38"/>
        <v>1.1248187197960365E-2</v>
      </c>
      <c r="AO44" s="3">
        <f t="shared" si="39"/>
        <v>11248.187197960364</v>
      </c>
      <c r="AP44" s="8">
        <f t="shared" si="40"/>
        <v>35.934758482210803</v>
      </c>
      <c r="AQ44" s="10">
        <f t="shared" si="41"/>
        <v>28.702445919493762</v>
      </c>
      <c r="AR44" s="10">
        <f t="shared" si="42"/>
        <v>86.107337758481293</v>
      </c>
      <c r="AS44" s="8">
        <f t="shared" si="43"/>
        <v>22.964438646115951</v>
      </c>
      <c r="AT44" s="8">
        <f t="shared" si="44"/>
        <v>9.3786005885598716</v>
      </c>
      <c r="AU44" s="8">
        <f t="shared" si="45"/>
        <v>0.40784141337110863</v>
      </c>
      <c r="AV44" s="38">
        <f t="shared" si="46"/>
        <v>0</v>
      </c>
      <c r="AW44" s="38">
        <f t="shared" si="47"/>
        <v>0</v>
      </c>
      <c r="AX44" s="4">
        <f t="shared" si="48"/>
        <v>310</v>
      </c>
      <c r="AY44" s="5">
        <f t="shared" si="49"/>
        <v>2.3662432634748507</v>
      </c>
      <c r="AZ44" s="8">
        <f t="shared" si="50"/>
        <v>440.69714198368507</v>
      </c>
      <c r="BA44" s="8">
        <f t="shared" si="51"/>
        <v>344254.9794319754</v>
      </c>
      <c r="BB44" s="3">
        <f t="shared" si="52"/>
        <v>3442549794.3197541</v>
      </c>
      <c r="BC44" s="5">
        <f t="shared" si="53"/>
        <v>3.4425497943197541</v>
      </c>
      <c r="BD44" s="3">
        <f t="shared" si="54"/>
        <v>0.5</v>
      </c>
      <c r="BE44" s="3">
        <f t="shared" si="55"/>
        <v>11.74</v>
      </c>
      <c r="BF44" s="3">
        <f t="shared" si="56"/>
        <v>0.33600000000000002</v>
      </c>
      <c r="BG44" s="5">
        <f t="shared" si="57"/>
        <v>2.9697999411000002</v>
      </c>
      <c r="BH44" s="8">
        <f t="shared" si="58"/>
        <v>2.7002694099000002</v>
      </c>
      <c r="BI44" s="8">
        <f t="shared" si="59"/>
        <v>2.8799564307000001</v>
      </c>
      <c r="BJ44" s="8">
        <f t="shared" si="60"/>
        <v>44.193451504464285</v>
      </c>
      <c r="BK44" s="8">
        <f t="shared" si="61"/>
        <v>132.58035451339285</v>
      </c>
      <c r="BL44" s="3">
        <f t="shared" si="62"/>
        <v>0</v>
      </c>
      <c r="BM44" s="3">
        <f t="shared" si="63"/>
        <v>0</v>
      </c>
      <c r="BN44" s="9">
        <f t="shared" si="64"/>
        <v>9</v>
      </c>
      <c r="BO44" s="3">
        <f t="shared" si="65"/>
        <v>310</v>
      </c>
      <c r="BP44" s="3">
        <f t="shared" si="66"/>
        <v>447.47172550497629</v>
      </c>
      <c r="BQ44" s="3">
        <f t="shared" si="67"/>
        <v>2.7002694099000002</v>
      </c>
      <c r="BR44" s="3">
        <f t="shared" si="68"/>
        <v>3.1E-2</v>
      </c>
      <c r="BS44" s="9">
        <f t="shared" si="69"/>
        <v>0.10671904362391238</v>
      </c>
      <c r="BT44" s="3">
        <f t="shared" si="70"/>
        <v>106719.04362391238</v>
      </c>
      <c r="BU44" s="8">
        <f t="shared" si="71"/>
        <v>35.934758482210803</v>
      </c>
      <c r="BV44" s="10">
        <f t="shared" si="72"/>
        <v>3.0252377999146427</v>
      </c>
      <c r="BW44" s="10">
        <f t="shared" si="73"/>
        <v>9.075713399743929</v>
      </c>
      <c r="BX44" s="8">
        <f t="shared" si="74"/>
        <v>34.27825952953161</v>
      </c>
      <c r="BY44" s="8">
        <f t="shared" si="75"/>
        <v>31.190822499864019</v>
      </c>
      <c r="BZ44" s="8">
        <f t="shared" si="76"/>
        <v>84.223623866003464</v>
      </c>
      <c r="CA44" s="8">
        <f t="shared" si="77"/>
        <v>0</v>
      </c>
      <c r="CB44" s="8">
        <f t="shared" si="78"/>
        <v>0</v>
      </c>
      <c r="CC44" s="8">
        <f>Table4[[#This Row],[sed_del_kg_with_BP]]-Table4[[#This Row],[sed_del_kg_no_drain_BP]]</f>
        <v>83.815782452632362</v>
      </c>
      <c r="CD44" s="8">
        <f>Table4[[#This Row],[Disp_offset_m]]-Table4[[#This Row],[Disp_offset_m31]]</f>
        <v>0</v>
      </c>
      <c r="CE44" s="8">
        <f>Table4[[#This Row],[Gull_offset_m]]-Table4[[#This Row],[Gull_offset_m32]]</f>
        <v>0</v>
      </c>
    </row>
    <row r="45" spans="1:83" x14ac:dyDescent="0.4">
      <c r="A45" s="21">
        <v>89</v>
      </c>
      <c r="B45" s="21" t="s">
        <v>94</v>
      </c>
      <c r="C45" s="21">
        <v>29.374561</v>
      </c>
      <c r="D45" s="21">
        <v>619982.80000000005</v>
      </c>
      <c r="E45" s="21">
        <v>6081936.5999999996</v>
      </c>
      <c r="F45" s="21">
        <v>811.3</v>
      </c>
      <c r="G45" s="21">
        <v>13</v>
      </c>
      <c r="H45" s="21">
        <v>0</v>
      </c>
      <c r="I45" s="21">
        <v>33.9</v>
      </c>
      <c r="J45" s="21">
        <v>0</v>
      </c>
      <c r="K45" s="21">
        <v>100</v>
      </c>
      <c r="L45" s="21">
        <v>3.1</v>
      </c>
      <c r="M45" s="21">
        <v>100</v>
      </c>
      <c r="N45" s="21">
        <v>1</v>
      </c>
      <c r="O45" s="35">
        <v>17</v>
      </c>
      <c r="P45" s="21">
        <v>90</v>
      </c>
      <c r="Q45" s="4">
        <v>781.16</v>
      </c>
      <c r="R45" s="4">
        <v>30.899999619999999</v>
      </c>
      <c r="S45" s="4">
        <f t="shared" si="17"/>
        <v>105.09</v>
      </c>
      <c r="T45" s="5">
        <f t="shared" si="18"/>
        <v>2.8192668236646963</v>
      </c>
      <c r="U45" s="8">
        <f t="shared" si="19"/>
        <v>479.0637072961631</v>
      </c>
      <c r="V45" s="8">
        <f t="shared" si="20"/>
        <v>374225.40559147077</v>
      </c>
      <c r="W45" s="3">
        <f t="shared" si="21"/>
        <v>3742254055.9147077</v>
      </c>
      <c r="X45" s="5">
        <f t="shared" si="22"/>
        <v>3.7422540559147075</v>
      </c>
      <c r="Y45" s="3">
        <f t="shared" si="23"/>
        <v>0.5</v>
      </c>
      <c r="Z45" s="3">
        <f t="shared" si="24"/>
        <v>11.74</v>
      </c>
      <c r="AA45" s="3">
        <f t="shared" si="25"/>
        <v>0.33600000000000002</v>
      </c>
      <c r="AB45" s="5">
        <f t="shared" si="26"/>
        <v>1.0067621800329001</v>
      </c>
      <c r="AC45" s="8">
        <f t="shared" si="27"/>
        <v>0</v>
      </c>
      <c r="AD45" s="8">
        <f t="shared" si="28"/>
        <v>0.34877201363290006</v>
      </c>
      <c r="AE45" s="8">
        <f t="shared" si="29"/>
        <v>14.981580060013393</v>
      </c>
      <c r="AF45" s="8">
        <f t="shared" si="30"/>
        <v>44.944740180040178</v>
      </c>
      <c r="AG45" s="3">
        <f t="shared" si="31"/>
        <v>0</v>
      </c>
      <c r="AH45" s="3">
        <f t="shared" si="32"/>
        <v>1</v>
      </c>
      <c r="AI45" s="9">
        <f t="shared" si="33"/>
        <v>17</v>
      </c>
      <c r="AJ45" s="3">
        <f t="shared" si="34"/>
        <v>105.09</v>
      </c>
      <c r="AK45" s="3">
        <f t="shared" si="35"/>
        <v>239.42125338832878</v>
      </c>
      <c r="AL45" s="3">
        <f t="shared" si="36"/>
        <v>0.34877201363290006</v>
      </c>
      <c r="AM45" s="3">
        <f t="shared" si="37"/>
        <v>1.0509000000000001E-2</v>
      </c>
      <c r="AN45" s="9">
        <f t="shared" si="38"/>
        <v>3.9327347873607664E-2</v>
      </c>
      <c r="AO45" s="3">
        <f t="shared" si="39"/>
        <v>39327.347873607665</v>
      </c>
      <c r="AP45" s="8">
        <f t="shared" si="40"/>
        <v>39.063195512889131</v>
      </c>
      <c r="AQ45" s="10">
        <f t="shared" si="41"/>
        <v>65.357060430944827</v>
      </c>
      <c r="AR45" s="10">
        <f t="shared" si="42"/>
        <v>196.07118129283447</v>
      </c>
      <c r="AS45" s="8">
        <f t="shared" si="43"/>
        <v>14.09204691609939</v>
      </c>
      <c r="AT45" s="8">
        <f t="shared" si="44"/>
        <v>1.8339466872487697</v>
      </c>
      <c r="AU45" s="8">
        <f t="shared" si="45"/>
        <v>4.9149115791372839</v>
      </c>
      <c r="AV45" s="38">
        <f t="shared" si="46"/>
        <v>14.392980939986607</v>
      </c>
      <c r="AW45" s="38">
        <f t="shared" si="47"/>
        <v>0</v>
      </c>
      <c r="AX45" s="4">
        <f t="shared" si="48"/>
        <v>310</v>
      </c>
      <c r="AY45" s="5">
        <f t="shared" si="49"/>
        <v>2.8192668236646963</v>
      </c>
      <c r="AZ45" s="8">
        <f t="shared" si="50"/>
        <v>479.0637072961631</v>
      </c>
      <c r="BA45" s="8">
        <f t="shared" si="51"/>
        <v>374225.40559147077</v>
      </c>
      <c r="BB45" s="3">
        <f t="shared" si="52"/>
        <v>3742254055.9147077</v>
      </c>
      <c r="BC45" s="5">
        <f t="shared" si="53"/>
        <v>3.7422540559147075</v>
      </c>
      <c r="BD45" s="3">
        <f t="shared" si="54"/>
        <v>0.5</v>
      </c>
      <c r="BE45" s="3">
        <f t="shared" si="55"/>
        <v>11.74</v>
      </c>
      <c r="BF45" s="3">
        <f t="shared" si="56"/>
        <v>0.33600000000000002</v>
      </c>
      <c r="BG45" s="5">
        <f t="shared" si="57"/>
        <v>2.9697999411000002</v>
      </c>
      <c r="BH45" s="8">
        <f t="shared" si="58"/>
        <v>0.99582944190000022</v>
      </c>
      <c r="BI45" s="8">
        <f t="shared" si="59"/>
        <v>2.3118097747000004</v>
      </c>
      <c r="BJ45" s="8">
        <f t="shared" si="60"/>
        <v>44.193451504464285</v>
      </c>
      <c r="BK45" s="8">
        <f t="shared" si="61"/>
        <v>132.58035451339285</v>
      </c>
      <c r="BL45" s="3">
        <f t="shared" si="62"/>
        <v>1</v>
      </c>
      <c r="BM45" s="3">
        <f t="shared" si="63"/>
        <v>1</v>
      </c>
      <c r="BN45" s="9">
        <f t="shared" si="64"/>
        <v>17</v>
      </c>
      <c r="BO45" s="3">
        <f t="shared" si="65"/>
        <v>310</v>
      </c>
      <c r="BP45" s="3">
        <f t="shared" si="66"/>
        <v>239.42125338832878</v>
      </c>
      <c r="BQ45" s="3">
        <f t="shared" si="67"/>
        <v>2.3118097747000004</v>
      </c>
      <c r="BR45" s="3">
        <f t="shared" si="68"/>
        <v>3.1E-2</v>
      </c>
      <c r="BS45" s="9">
        <f t="shared" si="69"/>
        <v>0.11600987573335593</v>
      </c>
      <c r="BT45" s="3">
        <f t="shared" si="70"/>
        <v>116009.87573335593</v>
      </c>
      <c r="BU45" s="8">
        <f t="shared" si="71"/>
        <v>39.063195512889131</v>
      </c>
      <c r="BV45" s="10">
        <f t="shared" si="72"/>
        <v>22.156043486090297</v>
      </c>
      <c r="BW45" s="10">
        <f t="shared" si="73"/>
        <v>66.468130458270892</v>
      </c>
      <c r="BX45" s="8">
        <f t="shared" si="74"/>
        <v>27.647808164006133</v>
      </c>
      <c r="BY45" s="8">
        <f t="shared" si="75"/>
        <v>13.849898406269544</v>
      </c>
      <c r="BZ45" s="8">
        <f t="shared" si="76"/>
        <v>63.916473162579848</v>
      </c>
      <c r="CA45" s="8">
        <f t="shared" si="77"/>
        <v>0</v>
      </c>
      <c r="CB45" s="8">
        <f t="shared" si="78"/>
        <v>0</v>
      </c>
      <c r="CC45" s="8">
        <f>Table4[[#This Row],[sed_del_kg_with_BP]]-Table4[[#This Row],[sed_del_kg_no_drain_BP]]</f>
        <v>59.001561583442566</v>
      </c>
      <c r="CD45" s="8">
        <f>Table4[[#This Row],[Disp_offset_m]]-Table4[[#This Row],[Disp_offset_m31]]</f>
        <v>14.392980939986607</v>
      </c>
      <c r="CE45" s="8">
        <f>Table4[[#This Row],[Gull_offset_m]]-Table4[[#This Row],[Gull_offset_m32]]</f>
        <v>0</v>
      </c>
    </row>
    <row r="46" spans="1:83" x14ac:dyDescent="0.4">
      <c r="A46" s="21">
        <v>81</v>
      </c>
      <c r="B46" s="21" t="s">
        <v>94</v>
      </c>
      <c r="C46" s="21">
        <v>97.897906000000006</v>
      </c>
      <c r="D46" s="21">
        <v>619869.5</v>
      </c>
      <c r="E46" s="21">
        <v>6081743.5999999996</v>
      </c>
      <c r="F46" s="21">
        <v>814.4</v>
      </c>
      <c r="G46" s="21">
        <v>17</v>
      </c>
      <c r="H46" s="21">
        <v>0</v>
      </c>
      <c r="I46" s="21">
        <v>9.2100000000000009</v>
      </c>
      <c r="J46" s="21">
        <v>0</v>
      </c>
      <c r="K46" s="21">
        <v>100</v>
      </c>
      <c r="L46" s="21">
        <v>4.9000000000000004</v>
      </c>
      <c r="M46" s="21">
        <v>100</v>
      </c>
      <c r="N46" s="21">
        <v>0</v>
      </c>
      <c r="O46" s="35">
        <v>17</v>
      </c>
      <c r="P46" s="21">
        <v>90</v>
      </c>
      <c r="Q46" s="4">
        <v>781.16</v>
      </c>
      <c r="R46" s="4">
        <v>30.899999619999999</v>
      </c>
      <c r="S46" s="4">
        <f t="shared" si="17"/>
        <v>45.129000000000005</v>
      </c>
      <c r="T46" s="5">
        <f t="shared" si="18"/>
        <v>3.2456920022533735</v>
      </c>
      <c r="U46" s="8">
        <f t="shared" si="19"/>
        <v>515.17765567083813</v>
      </c>
      <c r="V46" s="8">
        <f t="shared" si="20"/>
        <v>402436.17750383192</v>
      </c>
      <c r="W46" s="3">
        <f t="shared" si="21"/>
        <v>4024361775.0383191</v>
      </c>
      <c r="X46" s="5">
        <f t="shared" si="22"/>
        <v>4.0243617750383187</v>
      </c>
      <c r="Y46" s="3">
        <f t="shared" si="23"/>
        <v>0.5</v>
      </c>
      <c r="Z46" s="3">
        <f t="shared" si="24"/>
        <v>11.74</v>
      </c>
      <c r="AA46" s="3">
        <f t="shared" si="25"/>
        <v>0.33600000000000002</v>
      </c>
      <c r="AB46" s="5">
        <f t="shared" si="26"/>
        <v>0.4323358114254901</v>
      </c>
      <c r="AC46" s="8">
        <f t="shared" si="27"/>
        <v>0</v>
      </c>
      <c r="AD46" s="8">
        <f t="shared" si="28"/>
        <v>0</v>
      </c>
      <c r="AE46" s="8">
        <f t="shared" si="29"/>
        <v>6.4335686224031265</v>
      </c>
      <c r="AF46" s="8">
        <f t="shared" si="30"/>
        <v>19.300705867209381</v>
      </c>
      <c r="AG46" s="3">
        <f t="shared" si="31"/>
        <v>0</v>
      </c>
      <c r="AH46" s="3">
        <f t="shared" si="32"/>
        <v>0</v>
      </c>
      <c r="AI46" s="9">
        <f t="shared" si="33"/>
        <v>17</v>
      </c>
      <c r="AJ46" s="3">
        <f t="shared" si="34"/>
        <v>45.129000000000005</v>
      </c>
      <c r="AK46" s="3">
        <f t="shared" si="35"/>
        <v>239.42125338832878</v>
      </c>
      <c r="AL46" s="3">
        <f t="shared" si="36"/>
        <v>0</v>
      </c>
      <c r="AM46" s="3">
        <f t="shared" si="37"/>
        <v>4.5129000000000002E-3</v>
      </c>
      <c r="AN46" s="9">
        <f t="shared" si="38"/>
        <v>1.816154225457043E-2</v>
      </c>
      <c r="AO46" s="3">
        <f t="shared" si="39"/>
        <v>18161.542254570431</v>
      </c>
      <c r="AP46" s="8">
        <f t="shared" si="40"/>
        <v>42.007952555881296</v>
      </c>
      <c r="AQ46" s="10">
        <f t="shared" si="41"/>
        <v>507.22448532994872</v>
      </c>
      <c r="AR46" s="10">
        <f t="shared" si="42"/>
        <v>1521.6734559898464</v>
      </c>
      <c r="AS46" s="8">
        <f t="shared" si="43"/>
        <v>1.537760537718208E-2</v>
      </c>
      <c r="AT46" s="8">
        <f t="shared" si="44"/>
        <v>2.0606446493670148E-9</v>
      </c>
      <c r="AU46" s="8">
        <f t="shared" si="45"/>
        <v>0</v>
      </c>
      <c r="AV46" s="38">
        <f t="shared" si="46"/>
        <v>91.464337377596877</v>
      </c>
      <c r="AW46" s="38">
        <f t="shared" si="47"/>
        <v>78.597200132790618</v>
      </c>
      <c r="AX46" s="4">
        <f t="shared" si="48"/>
        <v>490.00000000000006</v>
      </c>
      <c r="AY46" s="5">
        <f t="shared" si="49"/>
        <v>3.2456920022533735</v>
      </c>
      <c r="AZ46" s="8">
        <f t="shared" si="50"/>
        <v>515.17765567083813</v>
      </c>
      <c r="BA46" s="8">
        <f t="shared" si="51"/>
        <v>402436.17750383192</v>
      </c>
      <c r="BB46" s="3">
        <f t="shared" si="52"/>
        <v>4024361775.0383191</v>
      </c>
      <c r="BC46" s="5">
        <f t="shared" si="53"/>
        <v>4.0243617750383187</v>
      </c>
      <c r="BD46" s="3">
        <f t="shared" si="54"/>
        <v>0.5</v>
      </c>
      <c r="BE46" s="3">
        <f t="shared" si="55"/>
        <v>11.74</v>
      </c>
      <c r="BF46" s="3">
        <f t="shared" si="56"/>
        <v>0.33600000000000002</v>
      </c>
      <c r="BG46" s="5">
        <f t="shared" si="57"/>
        <v>4.6941999069000007</v>
      </c>
      <c r="BH46" s="8">
        <f t="shared" si="58"/>
        <v>0</v>
      </c>
      <c r="BI46" s="8">
        <f t="shared" si="59"/>
        <v>2.5012868125000005</v>
      </c>
      <c r="BJ46" s="8">
        <f t="shared" si="60"/>
        <v>69.854165281250005</v>
      </c>
      <c r="BK46" s="8">
        <f t="shared" si="61"/>
        <v>209.56249584375001</v>
      </c>
      <c r="BL46" s="3">
        <f t="shared" si="62"/>
        <v>1</v>
      </c>
      <c r="BM46" s="3">
        <f t="shared" si="63"/>
        <v>0</v>
      </c>
      <c r="BN46" s="9">
        <f t="shared" si="64"/>
        <v>17</v>
      </c>
      <c r="BO46" s="3">
        <f t="shared" si="65"/>
        <v>490.00000000000006</v>
      </c>
      <c r="BP46" s="3">
        <f t="shared" si="66"/>
        <v>239.42125338832878</v>
      </c>
      <c r="BQ46" s="3">
        <f t="shared" si="67"/>
        <v>0</v>
      </c>
      <c r="BR46" s="3">
        <f t="shared" si="68"/>
        <v>4.9000000000000009E-2</v>
      </c>
      <c r="BS46" s="9">
        <f t="shared" si="69"/>
        <v>0.19719372697687765</v>
      </c>
      <c r="BT46" s="3">
        <f t="shared" si="70"/>
        <v>197193.72697687766</v>
      </c>
      <c r="BU46" s="8">
        <f t="shared" si="71"/>
        <v>42.00795255588131</v>
      </c>
      <c r="BV46" s="10">
        <f t="shared" si="72"/>
        <v>46.715375098888288</v>
      </c>
      <c r="BW46" s="10">
        <f t="shared" si="73"/>
        <v>140.14612529666488</v>
      </c>
      <c r="BX46" s="8">
        <f t="shared" si="74"/>
        <v>20.269131143482888</v>
      </c>
      <c r="BY46" s="8">
        <f t="shared" si="75"/>
        <v>4.7189173217488083</v>
      </c>
      <c r="BZ46" s="8">
        <f t="shared" si="76"/>
        <v>0</v>
      </c>
      <c r="CA46" s="8">
        <f t="shared" si="77"/>
        <v>28.043740718750001</v>
      </c>
      <c r="CB46" s="8">
        <f t="shared" si="78"/>
        <v>0</v>
      </c>
      <c r="CC46" s="8">
        <f>Table4[[#This Row],[sed_del_kg_with_BP]]-Table4[[#This Row],[sed_del_kg_no_drain_BP]]</f>
        <v>0</v>
      </c>
      <c r="CD46" s="8">
        <f>Table4[[#This Row],[Disp_offset_m]]-Table4[[#This Row],[Disp_offset_m31]]</f>
        <v>63.420596658846875</v>
      </c>
      <c r="CE46" s="8">
        <f>Table4[[#This Row],[Gull_offset_m]]-Table4[[#This Row],[Gull_offset_m32]]</f>
        <v>78.597200132790618</v>
      </c>
    </row>
    <row r="47" spans="1:83" x14ac:dyDescent="0.4">
      <c r="A47" s="21">
        <v>90</v>
      </c>
      <c r="B47" s="21" t="s">
        <v>94</v>
      </c>
      <c r="C47" s="21">
        <v>44.401201999999998</v>
      </c>
      <c r="D47" s="21">
        <v>619982.69999999995</v>
      </c>
      <c r="E47" s="21">
        <v>6081970.5</v>
      </c>
      <c r="F47" s="21">
        <v>816.2</v>
      </c>
      <c r="G47" s="21">
        <v>14</v>
      </c>
      <c r="H47" s="21">
        <v>0</v>
      </c>
      <c r="I47" s="21">
        <v>118.85</v>
      </c>
      <c r="J47" s="21">
        <v>0</v>
      </c>
      <c r="K47" s="21">
        <v>135</v>
      </c>
      <c r="L47" s="21">
        <v>3.2</v>
      </c>
      <c r="M47" s="21">
        <v>100</v>
      </c>
      <c r="N47" s="21">
        <v>0</v>
      </c>
      <c r="O47" s="35">
        <v>7</v>
      </c>
      <c r="P47" s="21">
        <v>90</v>
      </c>
      <c r="Q47" s="4">
        <v>781.16</v>
      </c>
      <c r="R47" s="4">
        <v>30.899999619999999</v>
      </c>
      <c r="S47" s="4">
        <f t="shared" si="17"/>
        <v>380.32</v>
      </c>
      <c r="T47" s="5">
        <f t="shared" si="18"/>
        <v>2.9294544238463396</v>
      </c>
      <c r="U47" s="8">
        <f t="shared" si="19"/>
        <v>488.39549515554648</v>
      </c>
      <c r="V47" s="8">
        <f t="shared" si="20"/>
        <v>381515.02499570668</v>
      </c>
      <c r="W47" s="3">
        <f t="shared" si="21"/>
        <v>3815150249.957067</v>
      </c>
      <c r="X47" s="5">
        <f t="shared" si="22"/>
        <v>3.8151502499570671</v>
      </c>
      <c r="Y47" s="3">
        <f t="shared" si="23"/>
        <v>0.5</v>
      </c>
      <c r="Z47" s="3">
        <f t="shared" si="24"/>
        <v>11.74</v>
      </c>
      <c r="AA47" s="3">
        <f t="shared" si="25"/>
        <v>0.33600000000000002</v>
      </c>
      <c r="AB47" s="5">
        <f t="shared" si="26"/>
        <v>3.6434655277391998</v>
      </c>
      <c r="AC47" s="8">
        <f t="shared" si="27"/>
        <v>0.65970475333919998</v>
      </c>
      <c r="AD47" s="8">
        <f t="shared" si="28"/>
        <v>2.6488786029391997</v>
      </c>
      <c r="AE47" s="8">
        <f t="shared" si="29"/>
        <v>54.218237019928566</v>
      </c>
      <c r="AF47" s="8">
        <f t="shared" si="30"/>
        <v>162.65471105978571</v>
      </c>
      <c r="AG47" s="3">
        <f t="shared" si="31"/>
        <v>0</v>
      </c>
      <c r="AH47" s="3">
        <f t="shared" si="32"/>
        <v>0</v>
      </c>
      <c r="AI47" s="9">
        <f t="shared" si="33"/>
        <v>7</v>
      </c>
      <c r="AJ47" s="3">
        <f t="shared" si="34"/>
        <v>380.32</v>
      </c>
      <c r="AK47" s="3">
        <f t="shared" si="35"/>
        <v>574.38563336875552</v>
      </c>
      <c r="AL47" s="3">
        <f t="shared" si="36"/>
        <v>0.65970475333919998</v>
      </c>
      <c r="AM47" s="3">
        <f t="shared" si="37"/>
        <v>3.8031999999999996E-2</v>
      </c>
      <c r="AN47" s="9">
        <f t="shared" si="38"/>
        <v>0.14509779430636716</v>
      </c>
      <c r="AO47" s="3">
        <f t="shared" si="39"/>
        <v>145097.79430636714</v>
      </c>
      <c r="AP47" s="8">
        <f t="shared" si="40"/>
        <v>39.824116133850595</v>
      </c>
      <c r="AQ47" s="10">
        <f t="shared" si="41"/>
        <v>27.297827225969375</v>
      </c>
      <c r="AR47" s="10">
        <f t="shared" si="42"/>
        <v>81.893481677908113</v>
      </c>
      <c r="AS47" s="8">
        <f t="shared" si="43"/>
        <v>26.013784147955292</v>
      </c>
      <c r="AT47" s="8">
        <f t="shared" si="44"/>
        <v>11.099880556925648</v>
      </c>
      <c r="AU47" s="8">
        <f t="shared" si="45"/>
        <v>7.3226439649012161</v>
      </c>
      <c r="AV47" s="38">
        <f t="shared" si="46"/>
        <v>0</v>
      </c>
      <c r="AW47" s="38">
        <f t="shared" si="47"/>
        <v>0</v>
      </c>
      <c r="AX47" s="4">
        <f t="shared" si="48"/>
        <v>432</v>
      </c>
      <c r="AY47" s="5">
        <f t="shared" si="49"/>
        <v>2.9294544238463396</v>
      </c>
      <c r="AZ47" s="8">
        <f t="shared" si="50"/>
        <v>488.39549515554648</v>
      </c>
      <c r="BA47" s="8">
        <f t="shared" si="51"/>
        <v>381515.02499570668</v>
      </c>
      <c r="BB47" s="3">
        <f t="shared" si="52"/>
        <v>3815150249.957067</v>
      </c>
      <c r="BC47" s="5">
        <f t="shared" si="53"/>
        <v>3.8151502499570671</v>
      </c>
      <c r="BD47" s="3">
        <f t="shared" si="54"/>
        <v>0.5</v>
      </c>
      <c r="BE47" s="3">
        <f t="shared" si="55"/>
        <v>11.74</v>
      </c>
      <c r="BF47" s="3">
        <f t="shared" si="56"/>
        <v>0.33600000000000002</v>
      </c>
      <c r="BG47" s="5">
        <f t="shared" si="57"/>
        <v>4.1385599179199994</v>
      </c>
      <c r="BH47" s="8">
        <f t="shared" si="58"/>
        <v>1.1547991435199996</v>
      </c>
      <c r="BI47" s="8">
        <f t="shared" si="59"/>
        <v>3.1439729931199989</v>
      </c>
      <c r="BJ47" s="8">
        <f t="shared" si="60"/>
        <v>61.585713064285699</v>
      </c>
      <c r="BK47" s="8">
        <f t="shared" si="61"/>
        <v>184.7571391928571</v>
      </c>
      <c r="BL47" s="3">
        <f t="shared" si="62"/>
        <v>0</v>
      </c>
      <c r="BM47" s="3">
        <f t="shared" si="63"/>
        <v>0</v>
      </c>
      <c r="BN47" s="9">
        <f t="shared" si="64"/>
        <v>7</v>
      </c>
      <c r="BO47" s="3">
        <f t="shared" si="65"/>
        <v>432</v>
      </c>
      <c r="BP47" s="3">
        <f t="shared" si="66"/>
        <v>574.38563336875552</v>
      </c>
      <c r="BQ47" s="3">
        <f t="shared" si="67"/>
        <v>1.1547991435199996</v>
      </c>
      <c r="BR47" s="3">
        <f t="shared" si="68"/>
        <v>4.3200000000000002E-2</v>
      </c>
      <c r="BS47" s="9">
        <f t="shared" si="69"/>
        <v>0.16481449079814531</v>
      </c>
      <c r="BT47" s="3">
        <f t="shared" si="70"/>
        <v>164814.4907981453</v>
      </c>
      <c r="BU47" s="8">
        <f t="shared" si="71"/>
        <v>39.824116133850602</v>
      </c>
      <c r="BV47" s="10">
        <f t="shared" si="72"/>
        <v>24.032198265233042</v>
      </c>
      <c r="BW47" s="10">
        <f t="shared" si="73"/>
        <v>72.096594795699119</v>
      </c>
      <c r="BX47" s="8">
        <f t="shared" si="74"/>
        <v>27.373362496300679</v>
      </c>
      <c r="BY47" s="8">
        <f t="shared" si="75"/>
        <v>12.93278788181793</v>
      </c>
      <c r="BZ47" s="8">
        <f t="shared" si="76"/>
        <v>14.934772369249176</v>
      </c>
      <c r="CA47" s="8">
        <f t="shared" si="77"/>
        <v>0</v>
      </c>
      <c r="CB47" s="8">
        <f t="shared" si="78"/>
        <v>0</v>
      </c>
      <c r="CC47" s="8">
        <f>Table4[[#This Row],[sed_del_kg_with_BP]]-Table4[[#This Row],[sed_del_kg_no_drain_BP]]</f>
        <v>7.6121284043479598</v>
      </c>
      <c r="CD47" s="8">
        <f>Table4[[#This Row],[Disp_offset_m]]-Table4[[#This Row],[Disp_offset_m31]]</f>
        <v>0</v>
      </c>
      <c r="CE47" s="8">
        <f>Table4[[#This Row],[Gull_offset_m]]-Table4[[#This Row],[Gull_offset_m32]]</f>
        <v>0</v>
      </c>
    </row>
    <row r="48" spans="1:83" x14ac:dyDescent="0.4">
      <c r="A48" s="21">
        <v>101</v>
      </c>
      <c r="B48" s="21" t="s">
        <v>94</v>
      </c>
      <c r="C48" s="21">
        <v>56.040238000000002</v>
      </c>
      <c r="D48" s="21">
        <v>620239.6</v>
      </c>
      <c r="E48" s="21">
        <v>6082171</v>
      </c>
      <c r="F48" s="21">
        <v>817.7</v>
      </c>
      <c r="G48" s="21">
        <v>16</v>
      </c>
      <c r="H48" s="21">
        <v>0</v>
      </c>
      <c r="I48" s="21">
        <v>52.95</v>
      </c>
      <c r="J48" s="21">
        <v>0</v>
      </c>
      <c r="K48" s="21">
        <v>100</v>
      </c>
      <c r="L48" s="21">
        <v>3.6</v>
      </c>
      <c r="M48" s="21">
        <v>100</v>
      </c>
      <c r="N48" s="21">
        <v>1</v>
      </c>
      <c r="O48" s="35">
        <v>12</v>
      </c>
      <c r="P48" s="21">
        <v>90</v>
      </c>
      <c r="Q48" s="4">
        <v>781.16</v>
      </c>
      <c r="R48" s="4">
        <v>30.899999619999999</v>
      </c>
      <c r="S48" s="4">
        <f t="shared" si="17"/>
        <v>190.62</v>
      </c>
      <c r="T48" s="5">
        <f t="shared" si="18"/>
        <v>3.1430387596364455</v>
      </c>
      <c r="U48" s="8">
        <f t="shared" si="19"/>
        <v>506.48395255361049</v>
      </c>
      <c r="V48" s="8">
        <f t="shared" si="20"/>
        <v>395645.00437677838</v>
      </c>
      <c r="W48" s="3">
        <f t="shared" si="21"/>
        <v>3956450043.7677836</v>
      </c>
      <c r="X48" s="5">
        <f t="shared" si="22"/>
        <v>3.9564500437677834</v>
      </c>
      <c r="Y48" s="3">
        <f t="shared" si="23"/>
        <v>0.5</v>
      </c>
      <c r="Z48" s="3">
        <f t="shared" si="24"/>
        <v>11.74</v>
      </c>
      <c r="AA48" s="3">
        <f t="shared" si="25"/>
        <v>0.33600000000000002</v>
      </c>
      <c r="AB48" s="5">
        <f t="shared" si="26"/>
        <v>1.8261395637822002</v>
      </c>
      <c r="AC48" s="8">
        <f t="shared" si="27"/>
        <v>0</v>
      </c>
      <c r="AD48" s="8">
        <f t="shared" si="28"/>
        <v>0.57083823258220001</v>
      </c>
      <c r="AE48" s="8">
        <f t="shared" si="29"/>
        <v>27.174695889616071</v>
      </c>
      <c r="AF48" s="8">
        <f t="shared" si="30"/>
        <v>81.52408766884821</v>
      </c>
      <c r="AG48" s="3">
        <f t="shared" si="31"/>
        <v>0</v>
      </c>
      <c r="AH48" s="3">
        <f t="shared" si="32"/>
        <v>1</v>
      </c>
      <c r="AI48" s="9">
        <f t="shared" si="33"/>
        <v>12</v>
      </c>
      <c r="AJ48" s="3">
        <f t="shared" si="34"/>
        <v>190.62</v>
      </c>
      <c r="AK48" s="3">
        <f t="shared" si="35"/>
        <v>336.68140413208914</v>
      </c>
      <c r="AL48" s="3">
        <f t="shared" si="36"/>
        <v>0.57083823258220001</v>
      </c>
      <c r="AM48" s="3">
        <f t="shared" si="37"/>
        <v>1.9061999999999999E-2</v>
      </c>
      <c r="AN48" s="9">
        <f t="shared" si="38"/>
        <v>7.5417850734301489E-2</v>
      </c>
      <c r="AO48" s="3">
        <f t="shared" si="39"/>
        <v>75417.850734301494</v>
      </c>
      <c r="AP48" s="8">
        <f t="shared" si="40"/>
        <v>41.299061818747397</v>
      </c>
      <c r="AQ48" s="10">
        <f t="shared" si="41"/>
        <v>68.740711613524709</v>
      </c>
      <c r="AR48" s="10">
        <f t="shared" si="42"/>
        <v>206.22213484057411</v>
      </c>
      <c r="AS48" s="8">
        <f t="shared" si="43"/>
        <v>14.132607021836497</v>
      </c>
      <c r="AT48" s="8">
        <f t="shared" si="44"/>
        <v>1.6549560952758742</v>
      </c>
      <c r="AU48" s="8">
        <f t="shared" si="45"/>
        <v>8.0674324141239353</v>
      </c>
      <c r="AV48" s="38">
        <f t="shared" si="46"/>
        <v>28.865542110383931</v>
      </c>
      <c r="AW48" s="38">
        <f t="shared" si="47"/>
        <v>0</v>
      </c>
      <c r="AX48" s="4">
        <f t="shared" si="48"/>
        <v>360</v>
      </c>
      <c r="AY48" s="5">
        <f t="shared" si="49"/>
        <v>3.1430387596364455</v>
      </c>
      <c r="AZ48" s="8">
        <f t="shared" si="50"/>
        <v>506.48395255361049</v>
      </c>
      <c r="BA48" s="8">
        <f t="shared" si="51"/>
        <v>395645.00437677838</v>
      </c>
      <c r="BB48" s="3">
        <f t="shared" si="52"/>
        <v>3956450043.7677836</v>
      </c>
      <c r="BC48" s="5">
        <f t="shared" si="53"/>
        <v>3.9564500437677834</v>
      </c>
      <c r="BD48" s="3">
        <f t="shared" si="54"/>
        <v>0.5</v>
      </c>
      <c r="BE48" s="3">
        <f t="shared" si="55"/>
        <v>11.74</v>
      </c>
      <c r="BF48" s="3">
        <f t="shared" si="56"/>
        <v>0.33600000000000002</v>
      </c>
      <c r="BG48" s="5">
        <f t="shared" si="57"/>
        <v>3.4487999316</v>
      </c>
      <c r="BH48" s="8">
        <f t="shared" si="58"/>
        <v>0</v>
      </c>
      <c r="BI48" s="8">
        <f t="shared" si="59"/>
        <v>2.1934986003999999</v>
      </c>
      <c r="BJ48" s="8">
        <f t="shared" si="60"/>
        <v>51.321427553571425</v>
      </c>
      <c r="BK48" s="8">
        <f t="shared" si="61"/>
        <v>153.96428266071428</v>
      </c>
      <c r="BL48" s="3">
        <f t="shared" si="62"/>
        <v>1</v>
      </c>
      <c r="BM48" s="3">
        <f t="shared" si="63"/>
        <v>1</v>
      </c>
      <c r="BN48" s="9">
        <f t="shared" si="64"/>
        <v>12</v>
      </c>
      <c r="BO48" s="3">
        <f t="shared" si="65"/>
        <v>360</v>
      </c>
      <c r="BP48" s="3">
        <f t="shared" si="66"/>
        <v>336.68140413208914</v>
      </c>
      <c r="BQ48" s="3">
        <f t="shared" si="67"/>
        <v>2.1934986003999999</v>
      </c>
      <c r="BR48" s="3">
        <f t="shared" si="68"/>
        <v>3.5999999999999997E-2</v>
      </c>
      <c r="BS48" s="9">
        <f t="shared" si="69"/>
        <v>0.14243220157564018</v>
      </c>
      <c r="BT48" s="3">
        <f t="shared" si="70"/>
        <v>142432.20157564018</v>
      </c>
      <c r="BU48" s="8">
        <f t="shared" si="71"/>
        <v>41.29906181874739</v>
      </c>
      <c r="BV48" s="10">
        <f t="shared" si="72"/>
        <v>36.398206799361333</v>
      </c>
      <c r="BW48" s="10">
        <f t="shared" si="73"/>
        <v>109.19462039808398</v>
      </c>
      <c r="BX48" s="8">
        <f t="shared" si="74"/>
        <v>23.40682759539509</v>
      </c>
      <c r="BY48" s="8">
        <f t="shared" si="75"/>
        <v>7.5187786051757595</v>
      </c>
      <c r="BZ48" s="8">
        <f t="shared" si="76"/>
        <v>51.342843570303224</v>
      </c>
      <c r="CA48" s="8">
        <f t="shared" si="77"/>
        <v>4.7188104464285772</v>
      </c>
      <c r="CB48" s="8">
        <f t="shared" si="78"/>
        <v>0</v>
      </c>
      <c r="CC48" s="8">
        <f>Table4[[#This Row],[sed_del_kg_with_BP]]-Table4[[#This Row],[sed_del_kg_no_drain_BP]]</f>
        <v>43.275411156179288</v>
      </c>
      <c r="CD48" s="8">
        <f>Table4[[#This Row],[Disp_offset_m]]-Table4[[#This Row],[Disp_offset_m31]]</f>
        <v>24.146731663955354</v>
      </c>
      <c r="CE48" s="8">
        <f>Table4[[#This Row],[Gull_offset_m]]-Table4[[#This Row],[Gull_offset_m32]]</f>
        <v>0</v>
      </c>
    </row>
    <row r="49" spans="1:83" x14ac:dyDescent="0.4">
      <c r="A49" s="21">
        <v>100</v>
      </c>
      <c r="B49" s="21" t="s">
        <v>94</v>
      </c>
      <c r="C49" s="21">
        <v>112.282453</v>
      </c>
      <c r="D49" s="21">
        <v>620213.9</v>
      </c>
      <c r="E49" s="21">
        <v>6082124.7000000002</v>
      </c>
      <c r="F49" s="21">
        <v>828.2</v>
      </c>
      <c r="G49" s="21">
        <v>14</v>
      </c>
      <c r="H49" s="21">
        <v>0</v>
      </c>
      <c r="I49" s="21">
        <v>57.7</v>
      </c>
      <c r="J49" s="21">
        <v>0</v>
      </c>
      <c r="K49" s="21">
        <v>100</v>
      </c>
      <c r="L49" s="21">
        <v>3.5</v>
      </c>
      <c r="M49" s="21">
        <v>100</v>
      </c>
      <c r="N49" s="21">
        <v>1</v>
      </c>
      <c r="O49" s="35">
        <v>5</v>
      </c>
      <c r="P49" s="21">
        <v>90</v>
      </c>
      <c r="Q49" s="4">
        <v>781.16</v>
      </c>
      <c r="R49" s="4">
        <v>30.899999619999999</v>
      </c>
      <c r="S49" s="4">
        <f t="shared" si="17"/>
        <v>201.95000000000002</v>
      </c>
      <c r="T49" s="5">
        <f t="shared" si="18"/>
        <v>2.9294544238463396</v>
      </c>
      <c r="U49" s="8">
        <f t="shared" si="19"/>
        <v>488.39549515554648</v>
      </c>
      <c r="V49" s="8">
        <f t="shared" si="20"/>
        <v>381515.02499570668</v>
      </c>
      <c r="W49" s="3">
        <f t="shared" si="21"/>
        <v>3815150249.957067</v>
      </c>
      <c r="X49" s="5">
        <f t="shared" si="22"/>
        <v>3.8151502499570671</v>
      </c>
      <c r="Y49" s="3">
        <f t="shared" si="23"/>
        <v>0.5</v>
      </c>
      <c r="Z49" s="3">
        <f t="shared" si="24"/>
        <v>11.74</v>
      </c>
      <c r="AA49" s="3">
        <f t="shared" si="25"/>
        <v>0.33600000000000002</v>
      </c>
      <c r="AB49" s="5">
        <f t="shared" si="26"/>
        <v>1.9346809616295002</v>
      </c>
      <c r="AC49" s="8">
        <f t="shared" si="27"/>
        <v>0</v>
      </c>
      <c r="AD49" s="8">
        <f t="shared" si="28"/>
        <v>0</v>
      </c>
      <c r="AE49" s="8">
        <f t="shared" si="29"/>
        <v>28.789895262343752</v>
      </c>
      <c r="AF49" s="8">
        <f t="shared" si="30"/>
        <v>86.369685787031258</v>
      </c>
      <c r="AG49" s="3">
        <f t="shared" si="31"/>
        <v>0</v>
      </c>
      <c r="AH49" s="3">
        <f t="shared" si="32"/>
        <v>1</v>
      </c>
      <c r="AI49" s="9">
        <f t="shared" si="33"/>
        <v>5</v>
      </c>
      <c r="AJ49" s="3">
        <f t="shared" si="34"/>
        <v>201.95000000000002</v>
      </c>
      <c r="AK49" s="3">
        <f t="shared" si="35"/>
        <v>803.15992719688995</v>
      </c>
      <c r="AL49" s="3">
        <f t="shared" si="36"/>
        <v>0</v>
      </c>
      <c r="AM49" s="3">
        <f t="shared" si="37"/>
        <v>2.0195000000000001E-2</v>
      </c>
      <c r="AN49" s="9">
        <f t="shared" si="38"/>
        <v>7.704695929788298E-2</v>
      </c>
      <c r="AO49" s="3">
        <f t="shared" si="39"/>
        <v>77046.959297882975</v>
      </c>
      <c r="AP49" s="8">
        <f t="shared" si="40"/>
        <v>39.824116133850602</v>
      </c>
      <c r="AQ49" s="10">
        <f t="shared" si="41"/>
        <v>130.00215524329215</v>
      </c>
      <c r="AR49" s="10">
        <f t="shared" si="42"/>
        <v>390.00646572987642</v>
      </c>
      <c r="AS49" s="8">
        <f t="shared" si="43"/>
        <v>5.2406159545508908</v>
      </c>
      <c r="AT49" s="8">
        <f t="shared" si="44"/>
        <v>9.0751688169847161E-2</v>
      </c>
      <c r="AU49" s="8">
        <f t="shared" si="45"/>
        <v>0</v>
      </c>
      <c r="AV49" s="38">
        <f t="shared" si="46"/>
        <v>83.492557737656256</v>
      </c>
      <c r="AW49" s="38">
        <f t="shared" si="47"/>
        <v>25.912767212968745</v>
      </c>
      <c r="AX49" s="4">
        <f t="shared" si="48"/>
        <v>350</v>
      </c>
      <c r="AY49" s="5">
        <f t="shared" si="49"/>
        <v>2.9294544238463396</v>
      </c>
      <c r="AZ49" s="8">
        <f t="shared" si="50"/>
        <v>488.39549515554648</v>
      </c>
      <c r="BA49" s="8">
        <f t="shared" si="51"/>
        <v>381515.02499570668</v>
      </c>
      <c r="BB49" s="3">
        <f t="shared" si="52"/>
        <v>3815150249.957067</v>
      </c>
      <c r="BC49" s="5">
        <f t="shared" si="53"/>
        <v>3.8151502499570671</v>
      </c>
      <c r="BD49" s="3">
        <f t="shared" si="54"/>
        <v>0.5</v>
      </c>
      <c r="BE49" s="3">
        <f t="shared" si="55"/>
        <v>11.74</v>
      </c>
      <c r="BF49" s="3">
        <f t="shared" si="56"/>
        <v>0.33600000000000002</v>
      </c>
      <c r="BG49" s="5">
        <f t="shared" si="57"/>
        <v>3.3529999335</v>
      </c>
      <c r="BH49" s="8">
        <f t="shared" si="58"/>
        <v>0</v>
      </c>
      <c r="BI49" s="8">
        <f t="shared" si="59"/>
        <v>0.83787298629999973</v>
      </c>
      <c r="BJ49" s="8">
        <f t="shared" si="60"/>
        <v>49.895832343749994</v>
      </c>
      <c r="BK49" s="8">
        <f t="shared" si="61"/>
        <v>149.68749703124999</v>
      </c>
      <c r="BL49" s="3">
        <f t="shared" si="62"/>
        <v>0</v>
      </c>
      <c r="BM49" s="3">
        <f t="shared" si="63"/>
        <v>1</v>
      </c>
      <c r="BN49" s="9">
        <f t="shared" si="64"/>
        <v>5</v>
      </c>
      <c r="BO49" s="3">
        <f t="shared" si="65"/>
        <v>350</v>
      </c>
      <c r="BP49" s="3">
        <f t="shared" si="66"/>
        <v>803.15992719688995</v>
      </c>
      <c r="BQ49" s="3">
        <f t="shared" si="67"/>
        <v>0.83787298629999973</v>
      </c>
      <c r="BR49" s="3">
        <f t="shared" si="68"/>
        <v>3.5000000000000003E-2</v>
      </c>
      <c r="BS49" s="9">
        <f t="shared" si="69"/>
        <v>0.13353025874849736</v>
      </c>
      <c r="BT49" s="3">
        <f t="shared" si="70"/>
        <v>133530.25874849738</v>
      </c>
      <c r="BU49" s="8">
        <f t="shared" si="71"/>
        <v>39.824116133850609</v>
      </c>
      <c r="BV49" s="10">
        <f t="shared" si="72"/>
        <v>75.011243575379581</v>
      </c>
      <c r="BW49" s="10">
        <f t="shared" si="73"/>
        <v>225.03373072613874</v>
      </c>
      <c r="BX49" s="8">
        <f t="shared" si="74"/>
        <v>12.357921346322323</v>
      </c>
      <c r="BY49" s="8">
        <f t="shared" si="75"/>
        <v>1.1899918548910766</v>
      </c>
      <c r="BZ49" s="8">
        <f t="shared" si="76"/>
        <v>10.354368462903597</v>
      </c>
      <c r="CA49" s="8">
        <f t="shared" si="77"/>
        <v>62.38662065625001</v>
      </c>
      <c r="CB49" s="8">
        <f t="shared" si="78"/>
        <v>0</v>
      </c>
      <c r="CC49" s="8">
        <f>Table4[[#This Row],[sed_del_kg_with_BP]]-Table4[[#This Row],[sed_del_kg_no_drain_BP]]</f>
        <v>10.354368462903597</v>
      </c>
      <c r="CD49" s="8">
        <f>Table4[[#This Row],[Disp_offset_m]]-Table4[[#This Row],[Disp_offset_m31]]</f>
        <v>21.105937081406246</v>
      </c>
      <c r="CE49" s="8">
        <f>Table4[[#This Row],[Gull_offset_m]]-Table4[[#This Row],[Gull_offset_m32]]</f>
        <v>25.912767212968745</v>
      </c>
    </row>
    <row r="50" spans="1:83" x14ac:dyDescent="0.4">
      <c r="A50" s="21">
        <v>91</v>
      </c>
      <c r="B50" s="21" t="s">
        <v>94</v>
      </c>
      <c r="C50" s="21">
        <v>61.332389999999997</v>
      </c>
      <c r="D50" s="21">
        <v>619988.69999999995</v>
      </c>
      <c r="E50" s="21">
        <v>6082088.5</v>
      </c>
      <c r="F50" s="21">
        <v>828.3</v>
      </c>
      <c r="G50" s="21">
        <v>2</v>
      </c>
      <c r="H50" s="21">
        <v>0</v>
      </c>
      <c r="I50" s="21">
        <v>19.29</v>
      </c>
      <c r="J50" s="21">
        <v>0</v>
      </c>
      <c r="K50" s="21">
        <v>100</v>
      </c>
      <c r="L50" s="21">
        <v>3.1</v>
      </c>
      <c r="M50" s="21">
        <v>100</v>
      </c>
      <c r="N50" s="21">
        <v>0</v>
      </c>
      <c r="O50" s="35">
        <v>13</v>
      </c>
      <c r="P50" s="21">
        <v>90</v>
      </c>
      <c r="Q50" s="4">
        <v>781.16</v>
      </c>
      <c r="R50" s="4">
        <v>30.899999619999999</v>
      </c>
      <c r="S50" s="4">
        <f t="shared" si="17"/>
        <v>59.798999999999999</v>
      </c>
      <c r="T50" s="5">
        <f t="shared" si="18"/>
        <v>1.6018257472049382</v>
      </c>
      <c r="U50" s="8">
        <f t="shared" si="19"/>
        <v>375.95862253078622</v>
      </c>
      <c r="V50" s="8">
        <f t="shared" si="20"/>
        <v>293683.83757614897</v>
      </c>
      <c r="W50" s="3">
        <f t="shared" si="21"/>
        <v>2936838375.7614899</v>
      </c>
      <c r="X50" s="5">
        <f t="shared" si="22"/>
        <v>2.9368383757614898</v>
      </c>
      <c r="Y50" s="3">
        <f t="shared" si="23"/>
        <v>0.5</v>
      </c>
      <c r="Z50" s="3">
        <f t="shared" si="24"/>
        <v>11.74</v>
      </c>
      <c r="AA50" s="3">
        <f t="shared" si="25"/>
        <v>0.33600000000000002</v>
      </c>
      <c r="AB50" s="5">
        <f t="shared" si="26"/>
        <v>0.57287440863819006</v>
      </c>
      <c r="AC50" s="8">
        <f t="shared" si="27"/>
        <v>0</v>
      </c>
      <c r="AD50" s="8">
        <f t="shared" si="28"/>
        <v>0</v>
      </c>
      <c r="AE50" s="8">
        <f t="shared" si="29"/>
        <v>8.5249167952111602</v>
      </c>
      <c r="AF50" s="8">
        <f t="shared" si="30"/>
        <v>25.574750385633479</v>
      </c>
      <c r="AG50" s="3">
        <f t="shared" si="31"/>
        <v>0</v>
      </c>
      <c r="AH50" s="3">
        <f t="shared" si="32"/>
        <v>0</v>
      </c>
      <c r="AI50" s="9">
        <f t="shared" si="33"/>
        <v>13</v>
      </c>
      <c r="AJ50" s="3">
        <f t="shared" si="34"/>
        <v>59.798999999999999</v>
      </c>
      <c r="AK50" s="3">
        <f t="shared" si="35"/>
        <v>311.17880378100608</v>
      </c>
      <c r="AL50" s="3">
        <f t="shared" si="36"/>
        <v>0</v>
      </c>
      <c r="AM50" s="3">
        <f t="shared" si="37"/>
        <v>5.9798999999999998E-3</v>
      </c>
      <c r="AN50" s="9">
        <f t="shared" si="38"/>
        <v>1.7561999803216131E-2</v>
      </c>
      <c r="AO50" s="3">
        <f t="shared" si="39"/>
        <v>17561.999803216131</v>
      </c>
      <c r="AP50" s="8">
        <f t="shared" si="40"/>
        <v>30.655933549141576</v>
      </c>
      <c r="AQ50" s="10">
        <f t="shared" si="41"/>
        <v>239.81618227035847</v>
      </c>
      <c r="AR50" s="10">
        <f t="shared" si="42"/>
        <v>719.44854681107552</v>
      </c>
      <c r="AS50" s="8">
        <f t="shared" si="43"/>
        <v>0.72738002381029199</v>
      </c>
      <c r="AT50" s="8">
        <f t="shared" si="44"/>
        <v>4.0950104773767839E-4</v>
      </c>
      <c r="AU50" s="8">
        <f t="shared" si="45"/>
        <v>0</v>
      </c>
      <c r="AV50" s="38">
        <f t="shared" si="46"/>
        <v>52.807473204788835</v>
      </c>
      <c r="AW50" s="38">
        <f t="shared" si="47"/>
        <v>35.757639614366518</v>
      </c>
      <c r="AX50" s="4">
        <f t="shared" si="48"/>
        <v>310</v>
      </c>
      <c r="AY50" s="5">
        <f t="shared" si="49"/>
        <v>1.6018257472049382</v>
      </c>
      <c r="AZ50" s="8">
        <f t="shared" si="50"/>
        <v>375.95862253078622</v>
      </c>
      <c r="BA50" s="8">
        <f t="shared" si="51"/>
        <v>293683.83757614897</v>
      </c>
      <c r="BB50" s="3">
        <f t="shared" si="52"/>
        <v>2936838375.7614899</v>
      </c>
      <c r="BC50" s="5">
        <f t="shared" si="53"/>
        <v>2.9368383757614898</v>
      </c>
      <c r="BD50" s="3">
        <f t="shared" si="54"/>
        <v>0.5</v>
      </c>
      <c r="BE50" s="3">
        <f t="shared" si="55"/>
        <v>11.74</v>
      </c>
      <c r="BF50" s="3">
        <f t="shared" si="56"/>
        <v>0.33600000000000002</v>
      </c>
      <c r="BG50" s="5">
        <f t="shared" si="57"/>
        <v>2.9697999411000002</v>
      </c>
      <c r="BH50" s="8">
        <f t="shared" si="58"/>
        <v>0</v>
      </c>
      <c r="BI50" s="8">
        <f t="shared" si="59"/>
        <v>1.5959544050999999</v>
      </c>
      <c r="BJ50" s="8">
        <f t="shared" si="60"/>
        <v>44.193451504464285</v>
      </c>
      <c r="BK50" s="8">
        <f t="shared" si="61"/>
        <v>132.58035451339285</v>
      </c>
      <c r="BL50" s="3">
        <f t="shared" si="62"/>
        <v>0</v>
      </c>
      <c r="BM50" s="3">
        <f t="shared" si="63"/>
        <v>0</v>
      </c>
      <c r="BN50" s="9">
        <f t="shared" si="64"/>
        <v>13</v>
      </c>
      <c r="BO50" s="3">
        <f t="shared" si="65"/>
        <v>310</v>
      </c>
      <c r="BP50" s="3">
        <f t="shared" si="66"/>
        <v>311.17880378100608</v>
      </c>
      <c r="BQ50" s="3">
        <f t="shared" si="67"/>
        <v>0</v>
      </c>
      <c r="BR50" s="3">
        <f t="shared" si="68"/>
        <v>3.1E-2</v>
      </c>
      <c r="BS50" s="9">
        <f t="shared" si="69"/>
        <v>9.1041989648606186E-2</v>
      </c>
      <c r="BT50" s="3">
        <f t="shared" si="70"/>
        <v>91041.989648606192</v>
      </c>
      <c r="BU50" s="8">
        <f t="shared" si="71"/>
        <v>30.655933549141583</v>
      </c>
      <c r="BV50" s="10">
        <f t="shared" si="72"/>
        <v>46.260541559952152</v>
      </c>
      <c r="BW50" s="10">
        <f t="shared" si="73"/>
        <v>138.78162467985644</v>
      </c>
      <c r="BX50" s="8">
        <f t="shared" si="74"/>
        <v>14.897028832033495</v>
      </c>
      <c r="BY50" s="8">
        <f t="shared" si="75"/>
        <v>3.5177897805753466</v>
      </c>
      <c r="BZ50" s="8">
        <f t="shared" si="76"/>
        <v>0</v>
      </c>
      <c r="CA50" s="8">
        <f t="shared" si="77"/>
        <v>17.138938495535712</v>
      </c>
      <c r="CB50" s="8">
        <f t="shared" si="78"/>
        <v>0</v>
      </c>
      <c r="CC50" s="8">
        <f>Table4[[#This Row],[sed_del_kg_with_BP]]-Table4[[#This Row],[sed_del_kg_no_drain_BP]]</f>
        <v>0</v>
      </c>
      <c r="CD50" s="8">
        <f>Table4[[#This Row],[Disp_offset_m]]-Table4[[#This Row],[Disp_offset_m31]]</f>
        <v>35.668534709253123</v>
      </c>
      <c r="CE50" s="8">
        <f>Table4[[#This Row],[Gull_offset_m]]-Table4[[#This Row],[Gull_offset_m32]]</f>
        <v>35.757639614366518</v>
      </c>
    </row>
    <row r="51" spans="1:83" x14ac:dyDescent="0.4">
      <c r="A51" s="21">
        <v>98</v>
      </c>
      <c r="B51" s="21" t="s">
        <v>94</v>
      </c>
      <c r="C51" s="21">
        <v>103.495987</v>
      </c>
      <c r="D51" s="21">
        <v>620124.19999999995</v>
      </c>
      <c r="E51" s="21">
        <v>6082077.4000000004</v>
      </c>
      <c r="F51" s="21">
        <v>830.6</v>
      </c>
      <c r="G51" s="21">
        <v>8</v>
      </c>
      <c r="H51" s="21">
        <v>0</v>
      </c>
      <c r="I51" s="21">
        <v>48.57</v>
      </c>
      <c r="J51" s="21">
        <v>0</v>
      </c>
      <c r="K51" s="21">
        <v>100</v>
      </c>
      <c r="L51" s="21">
        <v>3.8</v>
      </c>
      <c r="M51" s="21">
        <v>100</v>
      </c>
      <c r="N51" s="21">
        <v>0</v>
      </c>
      <c r="O51" s="35">
        <v>7</v>
      </c>
      <c r="P51" s="21">
        <v>90</v>
      </c>
      <c r="Q51" s="4">
        <v>781.16</v>
      </c>
      <c r="R51" s="4">
        <v>30.899999619999999</v>
      </c>
      <c r="S51" s="4">
        <f t="shared" si="17"/>
        <v>184.566</v>
      </c>
      <c r="T51" s="5">
        <f t="shared" si="18"/>
        <v>2.2523775068692409</v>
      </c>
      <c r="U51" s="8">
        <f t="shared" si="19"/>
        <v>431.053851056756</v>
      </c>
      <c r="V51" s="8">
        <f t="shared" si="20"/>
        <v>336722.02629149548</v>
      </c>
      <c r="W51" s="5">
        <f t="shared" si="21"/>
        <v>3367220262.9149547</v>
      </c>
      <c r="X51" s="5">
        <f t="shared" si="22"/>
        <v>3.3672202629149548</v>
      </c>
      <c r="Y51" s="3">
        <f t="shared" si="23"/>
        <v>0.5</v>
      </c>
      <c r="Z51" s="3">
        <f t="shared" si="24"/>
        <v>11.74</v>
      </c>
      <c r="AA51" s="5">
        <f t="shared" si="25"/>
        <v>0.33600000000000002</v>
      </c>
      <c r="AB51" s="5">
        <f t="shared" si="26"/>
        <v>1.76814224493246</v>
      </c>
      <c r="AC51" s="8">
        <f t="shared" si="27"/>
        <v>0</v>
      </c>
      <c r="AD51" s="8">
        <f t="shared" si="28"/>
        <v>0</v>
      </c>
      <c r="AE51" s="8">
        <f t="shared" si="29"/>
        <v>26.311640549590177</v>
      </c>
      <c r="AF51" s="8">
        <f t="shared" si="30"/>
        <v>78.934921648770526</v>
      </c>
      <c r="AG51" s="3">
        <f t="shared" si="31"/>
        <v>0</v>
      </c>
      <c r="AH51" s="9">
        <f t="shared" si="32"/>
        <v>0</v>
      </c>
      <c r="AI51" s="9">
        <f t="shared" si="33"/>
        <v>7</v>
      </c>
      <c r="AJ51" s="3">
        <f t="shared" si="34"/>
        <v>184.566</v>
      </c>
      <c r="AK51" s="3">
        <f t="shared" si="35"/>
        <v>574.38563336875552</v>
      </c>
      <c r="AL51" s="3">
        <f t="shared" si="36"/>
        <v>0</v>
      </c>
      <c r="AM51" s="9">
        <f t="shared" si="37"/>
        <v>1.84566E-2</v>
      </c>
      <c r="AN51" s="9">
        <f t="shared" si="38"/>
        <v>6.2147437504516158E-2</v>
      </c>
      <c r="AO51" s="8">
        <f t="shared" si="39"/>
        <v>62147.437504516158</v>
      </c>
      <c r="AP51" s="8">
        <f t="shared" si="40"/>
        <v>35.148437679509257</v>
      </c>
      <c r="AQ51" s="10">
        <f t="shared" si="41"/>
        <v>131.11558843437712</v>
      </c>
      <c r="AR51" s="10">
        <f t="shared" si="42"/>
        <v>393.34676530313129</v>
      </c>
      <c r="AS51" s="8">
        <f t="shared" si="43"/>
        <v>4.5456784501629954</v>
      </c>
      <c r="AT51" s="8">
        <f t="shared" si="44"/>
        <v>7.602984117666442E-2</v>
      </c>
      <c r="AU51" s="8">
        <f t="shared" si="45"/>
        <v>0</v>
      </c>
      <c r="AV51" s="8">
        <f t="shared" si="46"/>
        <v>77.184346450409819</v>
      </c>
      <c r="AW51" s="8">
        <f t="shared" si="47"/>
        <v>24.561065351229473</v>
      </c>
      <c r="AX51" s="4">
        <f t="shared" si="48"/>
        <v>380</v>
      </c>
      <c r="AY51" s="5">
        <f t="shared" si="49"/>
        <v>2.2523775068692409</v>
      </c>
      <c r="AZ51" s="8">
        <f t="shared" si="50"/>
        <v>431.053851056756</v>
      </c>
      <c r="BA51" s="8">
        <f t="shared" si="51"/>
        <v>336722.02629149548</v>
      </c>
      <c r="BB51" s="3">
        <f t="shared" si="52"/>
        <v>3367220262.9149547</v>
      </c>
      <c r="BC51" s="5">
        <f t="shared" si="53"/>
        <v>3.3672202629149548</v>
      </c>
      <c r="BD51" s="3">
        <f t="shared" si="54"/>
        <v>0.5</v>
      </c>
      <c r="BE51" s="3">
        <f t="shared" si="55"/>
        <v>11.74</v>
      </c>
      <c r="BF51" s="3">
        <f t="shared" si="56"/>
        <v>0.33600000000000002</v>
      </c>
      <c r="BG51" s="5">
        <f t="shared" si="57"/>
        <v>3.6403999278000003</v>
      </c>
      <c r="BH51" s="8">
        <f t="shared" si="58"/>
        <v>0</v>
      </c>
      <c r="BI51" s="8">
        <f t="shared" si="59"/>
        <v>1.3220898189999999</v>
      </c>
      <c r="BJ51" s="8">
        <f t="shared" si="60"/>
        <v>54.172617973214287</v>
      </c>
      <c r="BK51" s="8">
        <f t="shared" si="61"/>
        <v>162.51785391964285</v>
      </c>
      <c r="BL51" s="3">
        <f t="shared" si="62"/>
        <v>0</v>
      </c>
      <c r="BM51" s="3">
        <f t="shared" si="63"/>
        <v>0</v>
      </c>
      <c r="BN51" s="9">
        <f t="shared" si="64"/>
        <v>7</v>
      </c>
      <c r="BO51" s="3">
        <f t="shared" si="65"/>
        <v>380</v>
      </c>
      <c r="BP51" s="3">
        <f t="shared" si="66"/>
        <v>574.38563336875552</v>
      </c>
      <c r="BQ51" s="3">
        <f t="shared" si="67"/>
        <v>0</v>
      </c>
      <c r="BR51" s="3">
        <f t="shared" si="68"/>
        <v>3.7999999999999999E-2</v>
      </c>
      <c r="BS51" s="9">
        <f t="shared" si="69"/>
        <v>0.12795436999076829</v>
      </c>
      <c r="BT51" s="3">
        <f t="shared" si="70"/>
        <v>127954.36999076829</v>
      </c>
      <c r="BU51" s="8">
        <f t="shared" si="71"/>
        <v>35.14843767950925</v>
      </c>
      <c r="BV51" s="10">
        <f t="shared" si="72"/>
        <v>63.682841302576954</v>
      </c>
      <c r="BW51" s="10">
        <f t="shared" si="73"/>
        <v>191.04852390773087</v>
      </c>
      <c r="BX51" s="8">
        <f t="shared" si="74"/>
        <v>13.015329378182765</v>
      </c>
      <c r="BY51" s="8">
        <f t="shared" si="75"/>
        <v>1.78465156958928</v>
      </c>
      <c r="BZ51" s="8">
        <f t="shared" si="76"/>
        <v>0</v>
      </c>
      <c r="CA51" s="8">
        <f t="shared" si="77"/>
        <v>49.323369026785713</v>
      </c>
      <c r="CB51" s="8">
        <f t="shared" si="78"/>
        <v>0</v>
      </c>
      <c r="CC51" s="8">
        <f>Table4[[#This Row],[sed_del_kg_with_BP]]-Table4[[#This Row],[sed_del_kg_no_drain_BP]]</f>
        <v>0</v>
      </c>
      <c r="CD51" s="8">
        <f>Table4[[#This Row],[Disp_offset_m]]-Table4[[#This Row],[Disp_offset_m31]]</f>
        <v>27.860977423624107</v>
      </c>
      <c r="CE51" s="8">
        <f>Table4[[#This Row],[Gull_offset_m]]-Table4[[#This Row],[Gull_offset_m32]]</f>
        <v>24.561065351229473</v>
      </c>
    </row>
    <row r="52" spans="1:83" x14ac:dyDescent="0.4">
      <c r="A52" s="21">
        <v>98</v>
      </c>
      <c r="B52" s="21" t="s">
        <v>94</v>
      </c>
      <c r="C52" s="21">
        <v>103.495987</v>
      </c>
      <c r="D52" s="21">
        <v>620124.19999999995</v>
      </c>
      <c r="E52" s="21">
        <v>6082077.4000000004</v>
      </c>
      <c r="F52" s="21">
        <v>830.6</v>
      </c>
      <c r="G52" s="21">
        <v>8</v>
      </c>
      <c r="H52" s="21">
        <v>0</v>
      </c>
      <c r="I52" s="21">
        <v>48.57</v>
      </c>
      <c r="J52" s="21">
        <v>0</v>
      </c>
      <c r="K52" s="21">
        <v>100</v>
      </c>
      <c r="L52" s="21">
        <v>3.8</v>
      </c>
      <c r="M52" s="21">
        <v>100</v>
      </c>
      <c r="N52" s="21">
        <v>0</v>
      </c>
      <c r="O52" s="35">
        <v>7</v>
      </c>
      <c r="P52" s="21">
        <v>90</v>
      </c>
      <c r="Q52" s="4">
        <v>781.16</v>
      </c>
      <c r="R52" s="4">
        <v>30.899999619999999</v>
      </c>
      <c r="S52" s="4">
        <f t="shared" si="17"/>
        <v>184.566</v>
      </c>
      <c r="T52" s="5">
        <f t="shared" si="18"/>
        <v>2.2523775068692409</v>
      </c>
      <c r="U52" s="8">
        <f t="shared" si="19"/>
        <v>431.053851056756</v>
      </c>
      <c r="V52" s="8">
        <f t="shared" si="20"/>
        <v>336722.02629149548</v>
      </c>
      <c r="W52" s="3">
        <f t="shared" si="21"/>
        <v>3367220262.9149547</v>
      </c>
      <c r="X52" s="5">
        <f t="shared" si="22"/>
        <v>3.3672202629149548</v>
      </c>
      <c r="Y52" s="3">
        <f t="shared" si="23"/>
        <v>0.5</v>
      </c>
      <c r="Z52" s="3">
        <f t="shared" si="24"/>
        <v>11.74</v>
      </c>
      <c r="AA52" s="3">
        <f t="shared" si="25"/>
        <v>0.33600000000000002</v>
      </c>
      <c r="AB52" s="5">
        <f t="shared" si="26"/>
        <v>1.76814224493246</v>
      </c>
      <c r="AC52" s="8">
        <f t="shared" si="27"/>
        <v>0</v>
      </c>
      <c r="AD52" s="8">
        <f t="shared" si="28"/>
        <v>0</v>
      </c>
      <c r="AE52" s="8">
        <f t="shared" si="29"/>
        <v>26.311640549590177</v>
      </c>
      <c r="AF52" s="8">
        <f t="shared" si="30"/>
        <v>78.934921648770526</v>
      </c>
      <c r="AG52" s="3">
        <f t="shared" si="31"/>
        <v>0</v>
      </c>
      <c r="AH52" s="3">
        <f t="shared" si="32"/>
        <v>0</v>
      </c>
      <c r="AI52" s="9">
        <f t="shared" si="33"/>
        <v>7</v>
      </c>
      <c r="AJ52" s="3">
        <f t="shared" si="34"/>
        <v>184.566</v>
      </c>
      <c r="AK52" s="3">
        <f t="shared" si="35"/>
        <v>574.38563336875552</v>
      </c>
      <c r="AL52" s="3">
        <f t="shared" si="36"/>
        <v>0</v>
      </c>
      <c r="AM52" s="3">
        <f t="shared" si="37"/>
        <v>1.84566E-2</v>
      </c>
      <c r="AN52" s="9">
        <f t="shared" si="38"/>
        <v>6.2147437504516158E-2</v>
      </c>
      <c r="AO52" s="3">
        <f t="shared" si="39"/>
        <v>62147.437504516158</v>
      </c>
      <c r="AP52" s="8">
        <f t="shared" si="40"/>
        <v>35.148437679509257</v>
      </c>
      <c r="AQ52" s="10">
        <f t="shared" si="41"/>
        <v>131.11558843437712</v>
      </c>
      <c r="AR52" s="10">
        <f t="shared" si="42"/>
        <v>393.34676530313129</v>
      </c>
      <c r="AS52" s="8">
        <f t="shared" si="43"/>
        <v>4.5456784501629954</v>
      </c>
      <c r="AT52" s="8">
        <f t="shared" si="44"/>
        <v>7.602984117666442E-2</v>
      </c>
      <c r="AU52" s="8">
        <f t="shared" si="45"/>
        <v>0</v>
      </c>
      <c r="AV52" s="8">
        <f t="shared" si="46"/>
        <v>77.184346450409819</v>
      </c>
      <c r="AW52" s="8">
        <f t="shared" si="47"/>
        <v>24.561065351229473</v>
      </c>
      <c r="AX52" s="4">
        <f t="shared" si="48"/>
        <v>380</v>
      </c>
      <c r="AY52" s="5">
        <f t="shared" si="49"/>
        <v>2.2523775068692409</v>
      </c>
      <c r="AZ52" s="8">
        <f t="shared" si="50"/>
        <v>431.053851056756</v>
      </c>
      <c r="BA52" s="8">
        <f t="shared" si="51"/>
        <v>336722.02629149548</v>
      </c>
      <c r="BB52" s="3">
        <f t="shared" si="52"/>
        <v>3367220262.9149547</v>
      </c>
      <c r="BC52" s="5">
        <f t="shared" si="53"/>
        <v>3.3672202629149548</v>
      </c>
      <c r="BD52" s="3">
        <f t="shared" si="54"/>
        <v>0.5</v>
      </c>
      <c r="BE52" s="3">
        <f t="shared" si="55"/>
        <v>11.74</v>
      </c>
      <c r="BF52" s="3">
        <f t="shared" si="56"/>
        <v>0.33600000000000002</v>
      </c>
      <c r="BG52" s="5">
        <f t="shared" si="57"/>
        <v>3.6403999278000003</v>
      </c>
      <c r="BH52" s="8">
        <f t="shared" si="58"/>
        <v>0</v>
      </c>
      <c r="BI52" s="8">
        <f t="shared" si="59"/>
        <v>1.3220898189999999</v>
      </c>
      <c r="BJ52" s="8">
        <f t="shared" si="60"/>
        <v>54.172617973214287</v>
      </c>
      <c r="BK52" s="8">
        <f t="shared" si="61"/>
        <v>162.51785391964285</v>
      </c>
      <c r="BL52" s="3">
        <f t="shared" si="62"/>
        <v>0</v>
      </c>
      <c r="BM52" s="3">
        <f t="shared" si="63"/>
        <v>0</v>
      </c>
      <c r="BN52" s="9">
        <f t="shared" si="64"/>
        <v>7</v>
      </c>
      <c r="BO52" s="3">
        <f t="shared" si="65"/>
        <v>380</v>
      </c>
      <c r="BP52" s="3">
        <f t="shared" si="66"/>
        <v>574.38563336875552</v>
      </c>
      <c r="BQ52" s="3">
        <f t="shared" si="67"/>
        <v>0</v>
      </c>
      <c r="BR52" s="3">
        <f t="shared" si="68"/>
        <v>3.7999999999999999E-2</v>
      </c>
      <c r="BS52" s="9">
        <f t="shared" si="69"/>
        <v>0.12795436999076829</v>
      </c>
      <c r="BT52" s="3">
        <f t="shared" si="70"/>
        <v>127954.36999076829</v>
      </c>
      <c r="BU52" s="8">
        <f t="shared" si="71"/>
        <v>35.14843767950925</v>
      </c>
      <c r="BV52" s="10">
        <f t="shared" si="72"/>
        <v>63.682841302576954</v>
      </c>
      <c r="BW52" s="10">
        <f t="shared" si="73"/>
        <v>191.04852390773087</v>
      </c>
      <c r="BX52" s="8">
        <f t="shared" si="74"/>
        <v>13.015329378182765</v>
      </c>
      <c r="BY52" s="8">
        <f t="shared" si="75"/>
        <v>1.78465156958928</v>
      </c>
      <c r="BZ52" s="8">
        <f t="shared" si="76"/>
        <v>0</v>
      </c>
      <c r="CA52" s="8">
        <f t="shared" si="77"/>
        <v>49.323369026785713</v>
      </c>
      <c r="CB52" s="8">
        <f t="shared" si="78"/>
        <v>0</v>
      </c>
      <c r="CC52" s="8">
        <f>Table4[[#This Row],[sed_del_kg_with_BP]]-Table4[[#This Row],[sed_del_kg_no_drain_BP]]</f>
        <v>0</v>
      </c>
      <c r="CD52" s="8">
        <f>Table4[[#This Row],[Disp_offset_m]]-Table4[[#This Row],[Disp_offset_m31]]</f>
        <v>27.860977423624107</v>
      </c>
      <c r="CE52" s="8">
        <f>Table4[[#This Row],[Gull_offset_m]]-Table4[[#This Row],[Gull_offset_m32]]</f>
        <v>24.561065351229473</v>
      </c>
    </row>
    <row r="53" spans="1:83" x14ac:dyDescent="0.4">
      <c r="O53" s="35"/>
      <c r="Q53" s="4"/>
      <c r="R53" s="4"/>
      <c r="S53" s="4"/>
    </row>
    <row r="57" spans="1:83" x14ac:dyDescent="0.4">
      <c r="Q57" s="4"/>
      <c r="R57" s="4"/>
      <c r="S57" s="4"/>
      <c r="T57" s="5"/>
      <c r="U57" s="8"/>
      <c r="V57" s="8"/>
      <c r="X57" s="5"/>
      <c r="AB57" s="5"/>
      <c r="AC57" s="8"/>
      <c r="AD57" s="8"/>
      <c r="AE57" s="8"/>
      <c r="AF57" s="8"/>
      <c r="AI57" s="9"/>
      <c r="AN57" s="9"/>
      <c r="AP57" s="8"/>
      <c r="AQ57" s="10"/>
      <c r="AR57" s="10"/>
      <c r="AS57" s="8"/>
      <c r="AT57" s="8"/>
      <c r="AU57" s="8"/>
    </row>
    <row r="58" spans="1:83" x14ac:dyDescent="0.4">
      <c r="Q58" s="4"/>
      <c r="R58" s="4"/>
      <c r="S58" s="4"/>
      <c r="T58" s="5"/>
      <c r="U58" s="8"/>
      <c r="V58" s="8"/>
      <c r="X58" s="5"/>
      <c r="AB58" s="5"/>
      <c r="AC58" s="8"/>
      <c r="AD58" s="8"/>
      <c r="AE58" s="8"/>
      <c r="AF58" s="8"/>
      <c r="AI58" s="9"/>
      <c r="AN58" s="9"/>
      <c r="AP58" s="8"/>
      <c r="AQ58" s="10"/>
      <c r="AR58" s="10"/>
      <c r="AS58" s="8"/>
      <c r="AT58" s="8"/>
      <c r="AU58" s="8"/>
    </row>
    <row r="59" spans="1:83" x14ac:dyDescent="0.4">
      <c r="Q59" s="4"/>
      <c r="R59" s="4"/>
      <c r="S59" s="4"/>
      <c r="T59" s="5"/>
      <c r="U59" s="8"/>
      <c r="V59" s="8"/>
      <c r="X59" s="5"/>
      <c r="AB59" s="5"/>
      <c r="AC59" s="8"/>
      <c r="AD59" s="8"/>
      <c r="AE59" s="8"/>
      <c r="AF59" s="8"/>
      <c r="AI59" s="9"/>
      <c r="AN59" s="9"/>
      <c r="AP59" s="8"/>
      <c r="AQ59" s="10"/>
      <c r="AR59" s="10"/>
      <c r="AS59" s="8"/>
      <c r="AT59" s="8"/>
      <c r="AU59" s="8"/>
    </row>
    <row r="60" spans="1:83" x14ac:dyDescent="0.4">
      <c r="Q60" s="4"/>
      <c r="R60" s="4"/>
      <c r="S60" s="4"/>
      <c r="T60" s="5"/>
      <c r="U60" s="8"/>
      <c r="V60" s="8"/>
      <c r="X60" s="5"/>
      <c r="AB60" s="5"/>
      <c r="AC60" s="8"/>
      <c r="AD60" s="8"/>
      <c r="AE60" s="8"/>
      <c r="AF60" s="8"/>
      <c r="AI60" s="9"/>
      <c r="AN60" s="9"/>
      <c r="AP60" s="8"/>
      <c r="AQ60" s="10"/>
      <c r="AR60" s="10"/>
      <c r="AS60" s="8"/>
      <c r="AT60" s="8"/>
      <c r="AU60" s="8"/>
    </row>
    <row r="61" spans="1:83" x14ac:dyDescent="0.4">
      <c r="Q61" s="4"/>
      <c r="R61" s="4"/>
      <c r="S61" s="4"/>
      <c r="T61" s="5"/>
      <c r="U61" s="8"/>
      <c r="V61" s="8"/>
      <c r="X61" s="5"/>
      <c r="AB61" s="5"/>
      <c r="AC61" s="8"/>
      <c r="AD61" s="8"/>
      <c r="AE61" s="8"/>
      <c r="AF61" s="8"/>
      <c r="AI61" s="9"/>
      <c r="AN61" s="9"/>
      <c r="AP61" s="8"/>
      <c r="AQ61" s="10"/>
      <c r="AR61" s="10"/>
      <c r="AS61" s="8"/>
      <c r="AT61" s="8"/>
      <c r="AU61" s="8"/>
    </row>
    <row r="62" spans="1:83" x14ac:dyDescent="0.4">
      <c r="Q62" s="4"/>
      <c r="R62" s="4"/>
      <c r="S62" s="4"/>
      <c r="T62" s="5"/>
      <c r="U62" s="8"/>
      <c r="V62" s="8"/>
      <c r="X62" s="5"/>
      <c r="AB62" s="5"/>
      <c r="AC62" s="8"/>
      <c r="AD62" s="8"/>
      <c r="AE62" s="8"/>
      <c r="AF62" s="8"/>
      <c r="AI62" s="9"/>
      <c r="AN62" s="9"/>
      <c r="AP62" s="8"/>
      <c r="AQ62" s="10"/>
      <c r="AR62" s="10"/>
      <c r="AS62" s="8"/>
      <c r="AT62" s="8"/>
      <c r="AU62" s="8"/>
    </row>
    <row r="63" spans="1:83" x14ac:dyDescent="0.4">
      <c r="Q63" s="4"/>
      <c r="R63" s="4"/>
      <c r="S63" s="4"/>
      <c r="T63" s="5"/>
      <c r="U63" s="8"/>
      <c r="V63" s="8"/>
      <c r="X63" s="5"/>
      <c r="AB63" s="5"/>
      <c r="AC63" s="8"/>
      <c r="AD63" s="8"/>
      <c r="AE63" s="8"/>
      <c r="AF63" s="8"/>
      <c r="AI63" s="9"/>
      <c r="AN63" s="9"/>
      <c r="AP63" s="8"/>
      <c r="AQ63" s="10"/>
      <c r="AR63" s="10"/>
      <c r="AS63" s="8"/>
      <c r="AT63" s="8"/>
      <c r="AU63" s="8"/>
    </row>
    <row r="64" spans="1:83" x14ac:dyDescent="0.4">
      <c r="Q64" s="4"/>
      <c r="R64" s="4"/>
      <c r="S64" s="4"/>
      <c r="T64" s="5"/>
      <c r="U64" s="8"/>
      <c r="V64" s="8"/>
      <c r="X64" s="5"/>
      <c r="AB64" s="5"/>
      <c r="AC64" s="8"/>
      <c r="AD64" s="8"/>
      <c r="AE64" s="8"/>
      <c r="AF64" s="8"/>
      <c r="AI64" s="9"/>
      <c r="AN64" s="9"/>
      <c r="AP64" s="8"/>
      <c r="AQ64" s="10"/>
      <c r="AR64" s="10"/>
      <c r="AS64" s="8"/>
      <c r="AT64" s="8"/>
      <c r="AU64" s="8"/>
    </row>
    <row r="65" spans="17:47" x14ac:dyDescent="0.4">
      <c r="Q65" s="4"/>
      <c r="R65" s="4"/>
      <c r="S65" s="4"/>
      <c r="T65" s="5"/>
      <c r="U65" s="8"/>
      <c r="V65" s="8"/>
      <c r="X65" s="5"/>
      <c r="AB65" s="5"/>
      <c r="AC65" s="8"/>
      <c r="AD65" s="8"/>
      <c r="AE65" s="8"/>
      <c r="AF65" s="8"/>
      <c r="AI65" s="9"/>
      <c r="AN65" s="9"/>
      <c r="AP65" s="8"/>
      <c r="AQ65" s="10"/>
      <c r="AR65" s="10"/>
      <c r="AS65" s="8"/>
      <c r="AT65" s="8"/>
      <c r="AU65" s="8"/>
    </row>
    <row r="66" spans="17:47" x14ac:dyDescent="0.4">
      <c r="Q66" s="4"/>
      <c r="R66" s="4"/>
      <c r="S66" s="4"/>
      <c r="T66" s="5"/>
      <c r="U66" s="8"/>
      <c r="V66" s="8"/>
      <c r="X66" s="5"/>
      <c r="AB66" s="5"/>
      <c r="AC66" s="8"/>
      <c r="AD66" s="8"/>
      <c r="AE66" s="8"/>
      <c r="AF66" s="8"/>
      <c r="AI66" s="9"/>
      <c r="AN66" s="9"/>
      <c r="AP66" s="8"/>
      <c r="AQ66" s="10"/>
      <c r="AR66" s="10"/>
      <c r="AS66" s="8"/>
      <c r="AT66" s="8"/>
      <c r="AU66" s="8"/>
    </row>
    <row r="67" spans="17:47" x14ac:dyDescent="0.4">
      <c r="Q67" s="4"/>
      <c r="R67" s="4"/>
      <c r="S67" s="4"/>
      <c r="T67" s="5"/>
      <c r="U67" s="8"/>
      <c r="V67" s="8"/>
      <c r="X67" s="5"/>
      <c r="AB67" s="5"/>
      <c r="AC67" s="8"/>
      <c r="AD67" s="8"/>
      <c r="AE67" s="8"/>
      <c r="AF67" s="8"/>
      <c r="AI67" s="9"/>
      <c r="AN67" s="9"/>
      <c r="AP67" s="8"/>
      <c r="AQ67" s="10"/>
      <c r="AR67" s="10"/>
      <c r="AS67" s="8"/>
      <c r="AT67" s="8"/>
      <c r="AU67" s="8"/>
    </row>
    <row r="68" spans="17:47" x14ac:dyDescent="0.4">
      <c r="Q68" s="4"/>
      <c r="R68" s="4"/>
      <c r="S68" s="4"/>
      <c r="T68" s="5"/>
      <c r="U68" s="8"/>
      <c r="V68" s="8"/>
      <c r="X68" s="5"/>
      <c r="AB68" s="5"/>
      <c r="AC68" s="8"/>
      <c r="AD68" s="8"/>
      <c r="AE68" s="8"/>
      <c r="AF68" s="8"/>
      <c r="AI68" s="9"/>
      <c r="AN68" s="9"/>
      <c r="AP68" s="8"/>
      <c r="AQ68" s="10"/>
      <c r="AR68" s="10"/>
      <c r="AS68" s="8"/>
      <c r="AT68" s="8"/>
      <c r="AU68" s="8"/>
    </row>
    <row r="69" spans="17:47" x14ac:dyDescent="0.4">
      <c r="Q69" s="4"/>
      <c r="R69" s="4"/>
      <c r="S69" s="4"/>
      <c r="T69" s="5"/>
      <c r="U69" s="8"/>
      <c r="V69" s="8"/>
      <c r="X69" s="5"/>
      <c r="AB69" s="5"/>
      <c r="AC69" s="8"/>
      <c r="AD69" s="8"/>
      <c r="AE69" s="8"/>
      <c r="AF69" s="8"/>
      <c r="AI69" s="9"/>
      <c r="AN69" s="9"/>
      <c r="AP69" s="8"/>
      <c r="AQ69" s="10"/>
      <c r="AR69" s="10"/>
      <c r="AS69" s="8"/>
      <c r="AT69" s="8"/>
      <c r="AU69" s="8"/>
    </row>
    <row r="70" spans="17:47" x14ac:dyDescent="0.4">
      <c r="Q70" s="4"/>
      <c r="R70" s="4"/>
      <c r="S70" s="4"/>
      <c r="T70" s="5"/>
      <c r="U70" s="8"/>
      <c r="V70" s="8"/>
      <c r="X70" s="5"/>
      <c r="AB70" s="5"/>
      <c r="AC70" s="8"/>
      <c r="AD70" s="8"/>
      <c r="AE70" s="8"/>
      <c r="AF70" s="8"/>
      <c r="AI70" s="9"/>
      <c r="AN70" s="9"/>
      <c r="AP70" s="8"/>
      <c r="AQ70" s="10"/>
      <c r="AR70" s="10"/>
      <c r="AS70" s="8"/>
      <c r="AT70" s="8"/>
      <c r="AU70" s="8"/>
    </row>
    <row r="71" spans="17:47" x14ac:dyDescent="0.4">
      <c r="Q71" s="4"/>
      <c r="R71" s="4"/>
      <c r="S71" s="4"/>
      <c r="T71" s="5"/>
      <c r="U71" s="8"/>
      <c r="V71" s="8"/>
      <c r="X71" s="5"/>
      <c r="AB71" s="5"/>
      <c r="AC71" s="8"/>
      <c r="AD71" s="8"/>
      <c r="AE71" s="8"/>
      <c r="AF71" s="8"/>
      <c r="AI71" s="9"/>
      <c r="AN71" s="9"/>
      <c r="AP71" s="8"/>
      <c r="AQ71" s="10"/>
      <c r="AR71" s="10"/>
      <c r="AS71" s="8"/>
      <c r="AT71" s="8"/>
      <c r="AU71" s="8"/>
    </row>
    <row r="72" spans="17:47" x14ac:dyDescent="0.4">
      <c r="Q72" s="4"/>
      <c r="R72" s="4"/>
      <c r="S72" s="4"/>
      <c r="T72" s="5"/>
      <c r="U72" s="8"/>
      <c r="V72" s="8"/>
      <c r="X72" s="5"/>
      <c r="AB72" s="5"/>
      <c r="AC72" s="8"/>
      <c r="AD72" s="8"/>
      <c r="AE72" s="8"/>
      <c r="AF72" s="8"/>
      <c r="AI72" s="9"/>
      <c r="AN72" s="9"/>
      <c r="AP72" s="8"/>
      <c r="AQ72" s="10"/>
      <c r="AR72" s="10"/>
      <c r="AS72" s="8"/>
      <c r="AT72" s="8"/>
      <c r="AU72" s="8"/>
    </row>
    <row r="73" spans="17:47" x14ac:dyDescent="0.4">
      <c r="Q73" s="4"/>
      <c r="R73" s="4"/>
      <c r="S73" s="4"/>
      <c r="T73" s="5"/>
      <c r="U73" s="8"/>
      <c r="V73" s="8"/>
      <c r="X73" s="5"/>
      <c r="AB73" s="5"/>
      <c r="AC73" s="8"/>
      <c r="AD73" s="8"/>
      <c r="AE73" s="8"/>
      <c r="AF73" s="8"/>
      <c r="AI73" s="9"/>
      <c r="AN73" s="9"/>
      <c r="AP73" s="8"/>
      <c r="AQ73" s="10"/>
      <c r="AR73" s="10"/>
      <c r="AS73" s="8"/>
      <c r="AT73" s="8"/>
      <c r="AU73" s="8"/>
    </row>
    <row r="74" spans="17:47" x14ac:dyDescent="0.4">
      <c r="Q74" s="4"/>
      <c r="R74" s="4"/>
      <c r="S74" s="4"/>
      <c r="T74" s="5"/>
      <c r="U74" s="8"/>
      <c r="V74" s="8"/>
      <c r="X74" s="5"/>
      <c r="AB74" s="5"/>
      <c r="AC74" s="8"/>
      <c r="AD74" s="8"/>
      <c r="AE74" s="8"/>
      <c r="AF74" s="8"/>
      <c r="AI74" s="9"/>
      <c r="AN74" s="9"/>
      <c r="AP74" s="8"/>
      <c r="AQ74" s="10"/>
      <c r="AR74" s="10"/>
      <c r="AS74" s="8"/>
      <c r="AT74" s="8"/>
      <c r="AU74" s="8"/>
    </row>
    <row r="75" spans="17:47" x14ac:dyDescent="0.4">
      <c r="Q75" s="4"/>
      <c r="R75" s="4"/>
      <c r="S75" s="4"/>
      <c r="T75" s="5"/>
      <c r="U75" s="8"/>
      <c r="V75" s="8"/>
      <c r="X75" s="5"/>
      <c r="AB75" s="5"/>
      <c r="AC75" s="8"/>
      <c r="AD75" s="8"/>
      <c r="AE75" s="8"/>
      <c r="AF75" s="8"/>
      <c r="AI75" s="9"/>
      <c r="AN75" s="9"/>
      <c r="AP75" s="8"/>
      <c r="AQ75" s="10"/>
      <c r="AR75" s="10"/>
      <c r="AS75" s="8"/>
      <c r="AT75" s="8"/>
      <c r="AU75" s="8"/>
    </row>
    <row r="76" spans="17:47" x14ac:dyDescent="0.4">
      <c r="Q76" s="4"/>
      <c r="R76" s="4"/>
      <c r="S76" s="4"/>
      <c r="T76" s="5"/>
      <c r="U76" s="8"/>
      <c r="V76" s="8"/>
      <c r="X76" s="5"/>
      <c r="AB76" s="5"/>
      <c r="AC76" s="8"/>
      <c r="AD76" s="8"/>
      <c r="AE76" s="8"/>
      <c r="AF76" s="8"/>
      <c r="AI76" s="9"/>
      <c r="AN76" s="9"/>
      <c r="AP76" s="8"/>
      <c r="AQ76" s="10"/>
      <c r="AR76" s="10"/>
      <c r="AS76" s="8"/>
      <c r="AT76" s="8"/>
      <c r="AU76" s="8"/>
    </row>
    <row r="77" spans="17:47" x14ac:dyDescent="0.4">
      <c r="Q77" s="4"/>
      <c r="R77" s="4"/>
      <c r="S77" s="4"/>
      <c r="T77" s="5"/>
      <c r="U77" s="8"/>
      <c r="V77" s="8"/>
      <c r="X77" s="5"/>
      <c r="AB77" s="5"/>
      <c r="AC77" s="8"/>
      <c r="AD77" s="8"/>
      <c r="AE77" s="8"/>
      <c r="AF77" s="8"/>
      <c r="AI77" s="9"/>
      <c r="AN77" s="9"/>
      <c r="AP77" s="8"/>
      <c r="AQ77" s="10"/>
      <c r="AR77" s="10"/>
      <c r="AS77" s="8"/>
      <c r="AT77" s="8"/>
      <c r="AU77" s="8"/>
    </row>
    <row r="78" spans="17:47" x14ac:dyDescent="0.4">
      <c r="Q78" s="4"/>
      <c r="R78" s="4"/>
      <c r="S78" s="4"/>
      <c r="T78" s="5"/>
      <c r="U78" s="8"/>
      <c r="V78" s="8"/>
      <c r="X78" s="5"/>
      <c r="AB78" s="5"/>
      <c r="AC78" s="8"/>
      <c r="AD78" s="8"/>
      <c r="AE78" s="8"/>
      <c r="AF78" s="8"/>
      <c r="AI78" s="9"/>
      <c r="AN78" s="9"/>
      <c r="AP78" s="8"/>
      <c r="AQ78" s="10"/>
      <c r="AR78" s="10"/>
      <c r="AS78" s="8"/>
      <c r="AT78" s="8"/>
      <c r="AU78" s="8"/>
    </row>
    <row r="79" spans="17:47" x14ac:dyDescent="0.4">
      <c r="Q79" s="4"/>
      <c r="R79" s="4"/>
      <c r="S79" s="4"/>
      <c r="T79" s="5"/>
      <c r="U79" s="8"/>
      <c r="V79" s="8"/>
      <c r="X79" s="5"/>
      <c r="AB79" s="5"/>
      <c r="AC79" s="8"/>
      <c r="AD79" s="8"/>
      <c r="AE79" s="8"/>
      <c r="AF79" s="8"/>
      <c r="AI79" s="9"/>
      <c r="AN79" s="9"/>
      <c r="AP79" s="8"/>
      <c r="AQ79" s="10"/>
      <c r="AR79" s="10"/>
      <c r="AS79" s="8"/>
      <c r="AT79" s="8"/>
      <c r="AU79" s="8"/>
    </row>
    <row r="80" spans="17:47" x14ac:dyDescent="0.4">
      <c r="Q80" s="4"/>
      <c r="R80" s="4"/>
      <c r="S80" s="4"/>
      <c r="T80" s="5"/>
      <c r="U80" s="8"/>
      <c r="V80" s="8"/>
      <c r="X80" s="5"/>
      <c r="AB80" s="5"/>
      <c r="AC80" s="8"/>
      <c r="AD80" s="8"/>
      <c r="AE80" s="8"/>
      <c r="AF80" s="8"/>
      <c r="AI80" s="9"/>
      <c r="AN80" s="9"/>
      <c r="AP80" s="8"/>
      <c r="AQ80" s="10"/>
      <c r="AR80" s="10"/>
      <c r="AS80" s="8"/>
      <c r="AT80" s="8"/>
      <c r="AU80" s="8"/>
    </row>
    <row r="81" spans="17:47" x14ac:dyDescent="0.4">
      <c r="Q81" s="4"/>
      <c r="R81" s="4"/>
      <c r="S81" s="4"/>
      <c r="T81" s="5"/>
      <c r="U81" s="8"/>
      <c r="V81" s="8"/>
      <c r="X81" s="5"/>
      <c r="AB81" s="5"/>
      <c r="AC81" s="8"/>
      <c r="AD81" s="8"/>
      <c r="AE81" s="8"/>
      <c r="AF81" s="8"/>
      <c r="AI81" s="9"/>
      <c r="AN81" s="9"/>
      <c r="AP81" s="8"/>
      <c r="AQ81" s="10"/>
      <c r="AR81" s="10"/>
      <c r="AS81" s="8"/>
      <c r="AT81" s="8"/>
      <c r="AU81" s="8"/>
    </row>
    <row r="82" spans="17:47" x14ac:dyDescent="0.4">
      <c r="Q82" s="4"/>
      <c r="R82" s="4"/>
      <c r="S82" s="4"/>
      <c r="T82" s="5"/>
      <c r="U82" s="8"/>
      <c r="V82" s="8"/>
      <c r="X82" s="5"/>
      <c r="AB82" s="5"/>
      <c r="AC82" s="8"/>
      <c r="AD82" s="8"/>
      <c r="AE82" s="8"/>
      <c r="AF82" s="8"/>
      <c r="AI82" s="9"/>
      <c r="AN82" s="9"/>
      <c r="AP82" s="8"/>
      <c r="AQ82" s="10"/>
      <c r="AR82" s="10"/>
      <c r="AS82" s="8"/>
      <c r="AT82" s="8"/>
      <c r="AU82" s="8"/>
    </row>
    <row r="83" spans="17:47" x14ac:dyDescent="0.4">
      <c r="Q83" s="4"/>
      <c r="R83" s="4"/>
      <c r="S83" s="4"/>
      <c r="T83" s="5"/>
      <c r="U83" s="8"/>
      <c r="V83" s="8"/>
      <c r="X83" s="5"/>
      <c r="AB83" s="5"/>
      <c r="AC83" s="8"/>
      <c r="AD83" s="8"/>
      <c r="AE83" s="8"/>
      <c r="AF83" s="8"/>
      <c r="AI83" s="9"/>
      <c r="AN83" s="9"/>
      <c r="AP83" s="8"/>
      <c r="AQ83" s="10"/>
      <c r="AR83" s="10"/>
      <c r="AS83" s="8"/>
      <c r="AT83" s="8"/>
      <c r="AU83" s="8"/>
    </row>
    <row r="84" spans="17:47" x14ac:dyDescent="0.4">
      <c r="Q84" s="4"/>
      <c r="R84" s="4"/>
      <c r="S84" s="4"/>
      <c r="T84" s="5"/>
      <c r="U84" s="8"/>
      <c r="V84" s="8"/>
      <c r="X84" s="5"/>
      <c r="AB84" s="5"/>
      <c r="AC84" s="8"/>
      <c r="AD84" s="8"/>
      <c r="AE84" s="8"/>
      <c r="AF84" s="8"/>
      <c r="AI84" s="9"/>
      <c r="AN84" s="9"/>
      <c r="AP84" s="8"/>
      <c r="AQ84" s="10"/>
      <c r="AR84" s="10"/>
      <c r="AS84" s="8"/>
      <c r="AT84" s="8"/>
      <c r="AU84" s="8"/>
    </row>
    <row r="85" spans="17:47" x14ac:dyDescent="0.4">
      <c r="Q85" s="4"/>
      <c r="R85" s="4"/>
      <c r="S85" s="4"/>
      <c r="T85" s="5"/>
      <c r="U85" s="8"/>
      <c r="V85" s="8"/>
      <c r="X85" s="5"/>
      <c r="AB85" s="5"/>
      <c r="AC85" s="8"/>
      <c r="AD85" s="8"/>
      <c r="AE85" s="8"/>
      <c r="AF85" s="8"/>
      <c r="AI85" s="9"/>
      <c r="AN85" s="9"/>
      <c r="AP85" s="8"/>
      <c r="AQ85" s="10"/>
      <c r="AR85" s="10"/>
      <c r="AS85" s="8"/>
      <c r="AT85" s="8"/>
      <c r="AU85" s="8"/>
    </row>
    <row r="86" spans="17:47" x14ac:dyDescent="0.4">
      <c r="Q86" s="4"/>
      <c r="R86" s="4"/>
      <c r="S86" s="4"/>
      <c r="T86" s="5"/>
      <c r="U86" s="8"/>
      <c r="V86" s="8"/>
      <c r="X86" s="5"/>
      <c r="AB86" s="5"/>
      <c r="AC86" s="8"/>
      <c r="AD86" s="8"/>
      <c r="AE86" s="8"/>
      <c r="AF86" s="8"/>
      <c r="AI86" s="9"/>
      <c r="AN86" s="9"/>
      <c r="AP86" s="8"/>
      <c r="AQ86" s="10"/>
      <c r="AR86" s="10"/>
      <c r="AS86" s="8"/>
      <c r="AT86" s="8"/>
      <c r="AU86" s="8"/>
    </row>
    <row r="87" spans="17:47" x14ac:dyDescent="0.4">
      <c r="Q87" s="4"/>
      <c r="R87" s="4"/>
      <c r="S87" s="4"/>
      <c r="T87" s="5"/>
      <c r="U87" s="8"/>
      <c r="V87" s="8"/>
      <c r="X87" s="5"/>
      <c r="AB87" s="5"/>
      <c r="AC87" s="8"/>
      <c r="AD87" s="8"/>
      <c r="AE87" s="8"/>
      <c r="AF87" s="8"/>
      <c r="AI87" s="9"/>
      <c r="AN87" s="9"/>
      <c r="AP87" s="8"/>
      <c r="AQ87" s="10"/>
      <c r="AR87" s="10"/>
      <c r="AS87" s="8"/>
      <c r="AT87" s="8"/>
      <c r="AU87" s="8"/>
    </row>
    <row r="88" spans="17:47" x14ac:dyDescent="0.4">
      <c r="Q88" s="4"/>
      <c r="R88" s="4"/>
      <c r="S88" s="4"/>
      <c r="T88" s="5"/>
      <c r="U88" s="8"/>
      <c r="V88" s="8"/>
      <c r="X88" s="5"/>
      <c r="AB88" s="5"/>
      <c r="AC88" s="8"/>
      <c r="AD88" s="8"/>
      <c r="AE88" s="8"/>
      <c r="AF88" s="8"/>
      <c r="AI88" s="9"/>
      <c r="AN88" s="9"/>
      <c r="AP88" s="8"/>
      <c r="AQ88" s="10"/>
      <c r="AR88" s="10"/>
      <c r="AS88" s="8"/>
      <c r="AT88" s="8"/>
      <c r="AU88" s="8"/>
    </row>
    <row r="89" spans="17:47" x14ac:dyDescent="0.4">
      <c r="Q89" s="4"/>
      <c r="R89" s="4"/>
      <c r="S89" s="4"/>
      <c r="T89" s="5"/>
      <c r="U89" s="8"/>
      <c r="V89" s="8"/>
      <c r="X89" s="5"/>
      <c r="AB89" s="5"/>
      <c r="AC89" s="8"/>
      <c r="AD89" s="8"/>
      <c r="AE89" s="8"/>
      <c r="AF89" s="8"/>
      <c r="AI89" s="9"/>
      <c r="AN89" s="9"/>
      <c r="AP89" s="8"/>
      <c r="AQ89" s="10"/>
      <c r="AR89" s="10"/>
      <c r="AS89" s="8"/>
      <c r="AT89" s="8"/>
      <c r="AU89" s="8"/>
    </row>
    <row r="90" spans="17:47" x14ac:dyDescent="0.4">
      <c r="Q90" s="4"/>
      <c r="R90" s="4"/>
      <c r="S90" s="4"/>
      <c r="T90" s="5"/>
      <c r="U90" s="8"/>
      <c r="V90" s="8"/>
      <c r="X90" s="5"/>
      <c r="AB90" s="5"/>
      <c r="AC90" s="8"/>
      <c r="AD90" s="8"/>
      <c r="AE90" s="8"/>
      <c r="AF90" s="8"/>
      <c r="AI90" s="9"/>
      <c r="AN90" s="9"/>
      <c r="AP90" s="8"/>
      <c r="AQ90" s="10"/>
      <c r="AR90" s="10"/>
      <c r="AS90" s="8"/>
      <c r="AT90" s="8"/>
      <c r="AU90" s="8"/>
    </row>
    <row r="91" spans="17:47" x14ac:dyDescent="0.4">
      <c r="Q91" s="4"/>
      <c r="R91" s="4"/>
      <c r="S91" s="4"/>
      <c r="T91" s="5"/>
      <c r="U91" s="8"/>
      <c r="V91" s="8"/>
      <c r="X91" s="5"/>
      <c r="AB91" s="5"/>
      <c r="AC91" s="8"/>
      <c r="AD91" s="8"/>
      <c r="AE91" s="8"/>
      <c r="AF91" s="8"/>
      <c r="AI91" s="9"/>
      <c r="AN91" s="9"/>
      <c r="AP91" s="8"/>
      <c r="AQ91" s="10"/>
      <c r="AR91" s="10"/>
      <c r="AS91" s="8"/>
      <c r="AT91" s="8"/>
      <c r="AU91" s="8"/>
    </row>
    <row r="92" spans="17:47" x14ac:dyDescent="0.4">
      <c r="Q92" s="4"/>
      <c r="R92" s="4"/>
      <c r="S92" s="4"/>
      <c r="T92" s="5"/>
      <c r="U92" s="8"/>
      <c r="V92" s="8"/>
      <c r="X92" s="5"/>
      <c r="AB92" s="5"/>
      <c r="AC92" s="8"/>
      <c r="AD92" s="8"/>
      <c r="AE92" s="8"/>
      <c r="AF92" s="8"/>
      <c r="AI92" s="9"/>
      <c r="AN92" s="9"/>
      <c r="AP92" s="8"/>
      <c r="AQ92" s="10"/>
      <c r="AR92" s="10"/>
      <c r="AS92" s="8"/>
      <c r="AT92" s="8"/>
      <c r="AU92" s="8"/>
    </row>
    <row r="93" spans="17:47" x14ac:dyDescent="0.4">
      <c r="Q93" s="4"/>
      <c r="R93" s="4"/>
      <c r="S93" s="4"/>
      <c r="T93" s="5"/>
      <c r="U93" s="8"/>
      <c r="V93" s="8"/>
      <c r="X93" s="5"/>
      <c r="AB93" s="5"/>
      <c r="AC93" s="8"/>
      <c r="AD93" s="8"/>
      <c r="AE93" s="8"/>
      <c r="AF93" s="8"/>
      <c r="AI93" s="9"/>
      <c r="AN93" s="9"/>
      <c r="AP93" s="8"/>
      <c r="AQ93" s="10"/>
      <c r="AR93" s="10"/>
      <c r="AS93" s="8"/>
      <c r="AT93" s="8"/>
      <c r="AU93" s="8"/>
    </row>
    <row r="94" spans="17:47" x14ac:dyDescent="0.4">
      <c r="Q94" s="4"/>
      <c r="R94" s="4"/>
      <c r="S94" s="4"/>
      <c r="T94" s="5"/>
      <c r="U94" s="8"/>
      <c r="V94" s="8"/>
      <c r="X94" s="5"/>
      <c r="AB94" s="5"/>
      <c r="AC94" s="8"/>
      <c r="AD94" s="8"/>
      <c r="AE94" s="8"/>
      <c r="AF94" s="8"/>
      <c r="AI94" s="9"/>
      <c r="AN94" s="9"/>
      <c r="AP94" s="8"/>
      <c r="AQ94" s="10"/>
      <c r="AR94" s="10"/>
      <c r="AS94" s="8"/>
      <c r="AT94" s="8"/>
      <c r="AU94" s="8"/>
    </row>
    <row r="95" spans="17:47" x14ac:dyDescent="0.4">
      <c r="Q95" s="4"/>
      <c r="R95" s="4"/>
      <c r="S95" s="4"/>
      <c r="T95" s="5"/>
      <c r="U95" s="8"/>
      <c r="V95" s="8"/>
      <c r="X95" s="5"/>
      <c r="AB95" s="5"/>
      <c r="AC95" s="8"/>
      <c r="AD95" s="8"/>
      <c r="AE95" s="8"/>
      <c r="AF95" s="8"/>
      <c r="AI95" s="9"/>
      <c r="AN95" s="9"/>
      <c r="AP95" s="8"/>
      <c r="AQ95" s="10"/>
      <c r="AR95" s="10"/>
      <c r="AS95" s="8"/>
      <c r="AT95" s="8"/>
      <c r="AU95" s="8"/>
    </row>
    <row r="96" spans="17:47" x14ac:dyDescent="0.4">
      <c r="Q96" s="4"/>
      <c r="R96" s="4"/>
      <c r="S96" s="4"/>
      <c r="T96" s="5"/>
      <c r="U96" s="8"/>
      <c r="V96" s="8"/>
      <c r="X96" s="5"/>
      <c r="AB96" s="5"/>
      <c r="AC96" s="8"/>
      <c r="AD96" s="8"/>
      <c r="AE96" s="8"/>
      <c r="AF96" s="8"/>
      <c r="AI96" s="9"/>
      <c r="AN96" s="9"/>
      <c r="AP96" s="8"/>
      <c r="AQ96" s="10"/>
      <c r="AR96" s="10"/>
      <c r="AS96" s="8"/>
      <c r="AT96" s="8"/>
      <c r="AU96" s="8"/>
    </row>
    <row r="97" spans="17:47" x14ac:dyDescent="0.4">
      <c r="Q97" s="4"/>
      <c r="R97" s="4"/>
      <c r="S97" s="4"/>
      <c r="T97" s="5"/>
      <c r="U97" s="8"/>
      <c r="V97" s="8"/>
      <c r="X97" s="5"/>
      <c r="AB97" s="5"/>
      <c r="AC97" s="8"/>
      <c r="AD97" s="8"/>
      <c r="AE97" s="8"/>
      <c r="AF97" s="8"/>
      <c r="AI97" s="9"/>
      <c r="AN97" s="9"/>
      <c r="AP97" s="8"/>
      <c r="AQ97" s="10"/>
      <c r="AR97" s="10"/>
      <c r="AS97" s="8"/>
      <c r="AT97" s="8"/>
      <c r="AU97" s="8"/>
    </row>
    <row r="98" spans="17:47" x14ac:dyDescent="0.4">
      <c r="Q98" s="4"/>
      <c r="R98" s="4"/>
      <c r="S98" s="4"/>
      <c r="T98" s="5"/>
      <c r="U98" s="8"/>
      <c r="V98" s="8"/>
      <c r="X98" s="5"/>
      <c r="AB98" s="5"/>
      <c r="AC98" s="8"/>
      <c r="AD98" s="8"/>
      <c r="AE98" s="8"/>
      <c r="AF98" s="8"/>
      <c r="AI98" s="9"/>
      <c r="AN98" s="9"/>
      <c r="AP98" s="8"/>
      <c r="AQ98" s="10"/>
      <c r="AR98" s="10"/>
      <c r="AS98" s="8"/>
      <c r="AT98" s="8"/>
      <c r="AU98" s="8"/>
    </row>
    <row r="99" spans="17:47" x14ac:dyDescent="0.4">
      <c r="Q99" s="4"/>
      <c r="R99" s="4"/>
      <c r="S99" s="4"/>
      <c r="T99" s="5"/>
      <c r="U99" s="8"/>
      <c r="V99" s="8"/>
      <c r="X99" s="5"/>
      <c r="AB99" s="5"/>
      <c r="AC99" s="8"/>
      <c r="AD99" s="8"/>
      <c r="AE99" s="8"/>
      <c r="AF99" s="8"/>
      <c r="AI99" s="9"/>
      <c r="AN99" s="9"/>
      <c r="AP99" s="8"/>
      <c r="AQ99" s="10"/>
      <c r="AR99" s="10"/>
      <c r="AS99" s="8"/>
      <c r="AT99" s="8"/>
      <c r="AU99" s="8"/>
    </row>
    <row r="100" spans="17:47" x14ac:dyDescent="0.4">
      <c r="T100" s="5"/>
      <c r="U100" s="8"/>
      <c r="V100" s="8"/>
      <c r="X100" s="5"/>
      <c r="AB100" s="5"/>
      <c r="AC100" s="8"/>
      <c r="AD100" s="8"/>
      <c r="AE100" s="8"/>
      <c r="AF100" s="8"/>
      <c r="AI100" s="9"/>
      <c r="AN100" s="9"/>
      <c r="AP100" s="8"/>
      <c r="AQ100" s="10"/>
      <c r="AR100" s="10"/>
      <c r="AS100" s="8"/>
      <c r="AT100" s="8"/>
      <c r="AU100" s="8"/>
    </row>
    <row r="101" spans="17:47" x14ac:dyDescent="0.4">
      <c r="T101" s="5"/>
      <c r="U101" s="8"/>
      <c r="V101" s="8"/>
      <c r="X101" s="5"/>
      <c r="AB101" s="5"/>
      <c r="AC101" s="8"/>
      <c r="AD101" s="8"/>
      <c r="AE101" s="8"/>
      <c r="AF101" s="8"/>
      <c r="AI101" s="9"/>
      <c r="AN101" s="9"/>
      <c r="AP101" s="8"/>
      <c r="AQ101" s="10"/>
      <c r="AR101" s="10"/>
      <c r="AS101" s="8"/>
      <c r="AT101" s="8"/>
      <c r="AU101" s="8"/>
    </row>
    <row r="102" spans="17:47" x14ac:dyDescent="0.4">
      <c r="T102" s="5"/>
      <c r="U102" s="8"/>
      <c r="V102" s="8"/>
      <c r="X102" s="5"/>
      <c r="AB102" s="5"/>
      <c r="AC102" s="8"/>
      <c r="AD102" s="8"/>
      <c r="AE102" s="8"/>
      <c r="AF102" s="8"/>
      <c r="AI102" s="9"/>
      <c r="AN102" s="9"/>
      <c r="AP102" s="8"/>
      <c r="AQ102" s="10"/>
      <c r="AR102" s="10"/>
      <c r="AS102" s="8"/>
      <c r="AT102" s="8"/>
      <c r="AU102" s="8"/>
    </row>
    <row r="103" spans="17:47" x14ac:dyDescent="0.4">
      <c r="T103" s="5"/>
      <c r="U103" s="8"/>
      <c r="V103" s="8"/>
      <c r="X103" s="5"/>
      <c r="AB103" s="5"/>
      <c r="AC103" s="8"/>
      <c r="AD103" s="8"/>
      <c r="AE103" s="8"/>
      <c r="AF103" s="8"/>
      <c r="AI103" s="9"/>
      <c r="AN103" s="9"/>
      <c r="AP103" s="8"/>
      <c r="AQ103" s="10"/>
      <c r="AR103" s="10"/>
      <c r="AS103" s="8"/>
      <c r="AT103" s="8"/>
      <c r="AU103" s="8"/>
    </row>
    <row r="104" spans="17:47" x14ac:dyDescent="0.4">
      <c r="T104" s="5"/>
      <c r="U104" s="8"/>
      <c r="V104" s="8"/>
      <c r="X104" s="5"/>
      <c r="AB104" s="5"/>
      <c r="AC104" s="8"/>
      <c r="AD104" s="8"/>
      <c r="AE104" s="8"/>
      <c r="AF104" s="8"/>
      <c r="AI104" s="9"/>
      <c r="AN104" s="9"/>
      <c r="AP104" s="8"/>
      <c r="AQ104" s="10"/>
      <c r="AR104" s="10"/>
      <c r="AS104" s="8"/>
      <c r="AT104" s="8"/>
      <c r="AU104" s="8"/>
    </row>
    <row r="105" spans="17:47" x14ac:dyDescent="0.4">
      <c r="T105" s="5"/>
      <c r="U105" s="8"/>
      <c r="V105" s="8"/>
      <c r="X105" s="5"/>
      <c r="AB105" s="5"/>
      <c r="AC105" s="8"/>
      <c r="AD105" s="8"/>
      <c r="AE105" s="8"/>
      <c r="AF105" s="8"/>
      <c r="AI105" s="9"/>
      <c r="AN105" s="9"/>
      <c r="AP105" s="8"/>
      <c r="AQ105" s="10"/>
      <c r="AR105" s="10"/>
      <c r="AS105" s="8"/>
      <c r="AT105" s="8"/>
      <c r="AU105" s="8"/>
    </row>
    <row r="106" spans="17:47" x14ac:dyDescent="0.4">
      <c r="T106" s="5"/>
      <c r="U106" s="8"/>
      <c r="V106" s="8"/>
      <c r="X106" s="5"/>
      <c r="AB106" s="5"/>
      <c r="AC106" s="8"/>
      <c r="AD106" s="8"/>
      <c r="AE106" s="8"/>
      <c r="AF106" s="8"/>
      <c r="AI106" s="9"/>
      <c r="AN106" s="9"/>
      <c r="AP106" s="8"/>
      <c r="AQ106" s="10"/>
      <c r="AR106" s="10"/>
      <c r="AS106" s="8"/>
      <c r="AT106" s="8"/>
      <c r="AU106" s="8"/>
    </row>
    <row r="107" spans="17:47" x14ac:dyDescent="0.4">
      <c r="T107" s="5"/>
      <c r="U107" s="8"/>
      <c r="V107" s="8"/>
      <c r="X107" s="5"/>
      <c r="AB107" s="5"/>
      <c r="AC107" s="8"/>
      <c r="AD107" s="8"/>
      <c r="AE107" s="8"/>
      <c r="AF107" s="8"/>
      <c r="AI107" s="9"/>
      <c r="AN107" s="9"/>
      <c r="AP107" s="8"/>
      <c r="AQ107" s="10"/>
      <c r="AR107" s="10"/>
      <c r="AS107" s="8"/>
      <c r="AT107" s="8"/>
      <c r="AU107" s="8"/>
    </row>
    <row r="108" spans="17:47" x14ac:dyDescent="0.4">
      <c r="T108" s="5"/>
      <c r="U108" s="8"/>
      <c r="V108" s="8"/>
      <c r="X108" s="5"/>
      <c r="AB108" s="5"/>
      <c r="AC108" s="8"/>
      <c r="AD108" s="8"/>
      <c r="AE108" s="8"/>
      <c r="AF108" s="8"/>
      <c r="AI108" s="9"/>
      <c r="AN108" s="9"/>
      <c r="AP108" s="8"/>
      <c r="AQ108" s="10"/>
      <c r="AR108" s="10"/>
      <c r="AS108" s="8"/>
      <c r="AT108" s="8"/>
      <c r="AU108" s="8"/>
    </row>
    <row r="109" spans="17:47" x14ac:dyDescent="0.4">
      <c r="T109" s="5"/>
      <c r="U109" s="8"/>
      <c r="V109" s="8"/>
      <c r="X109" s="5"/>
      <c r="AB109" s="5"/>
      <c r="AC109" s="8"/>
      <c r="AD109" s="8"/>
      <c r="AE109" s="8"/>
      <c r="AF109" s="8"/>
      <c r="AI109" s="9"/>
      <c r="AN109" s="9"/>
      <c r="AP109" s="8"/>
      <c r="AQ109" s="10"/>
      <c r="AR109" s="10"/>
      <c r="AS109" s="8"/>
      <c r="AT109" s="8"/>
      <c r="AU109" s="8"/>
    </row>
    <row r="110" spans="17:47" x14ac:dyDescent="0.4">
      <c r="T110" s="5"/>
      <c r="U110" s="8"/>
      <c r="V110" s="8"/>
      <c r="X110" s="5"/>
      <c r="AB110" s="5"/>
      <c r="AC110" s="8"/>
      <c r="AD110" s="8"/>
      <c r="AE110" s="8"/>
      <c r="AF110" s="8"/>
      <c r="AI110" s="9"/>
      <c r="AN110" s="9"/>
      <c r="AP110" s="8"/>
      <c r="AQ110" s="10"/>
      <c r="AR110" s="10"/>
      <c r="AS110" s="8"/>
      <c r="AT110" s="8"/>
      <c r="AU110" s="8"/>
    </row>
    <row r="111" spans="17:47" x14ac:dyDescent="0.4">
      <c r="T111" s="5"/>
      <c r="U111" s="8"/>
      <c r="V111" s="8"/>
      <c r="X111" s="5"/>
      <c r="AB111" s="5"/>
      <c r="AC111" s="8"/>
      <c r="AD111" s="8"/>
      <c r="AE111" s="8"/>
      <c r="AF111" s="8"/>
      <c r="AI111" s="9"/>
      <c r="AN111" s="9"/>
      <c r="AP111" s="8"/>
      <c r="AQ111" s="10"/>
      <c r="AR111" s="10"/>
      <c r="AS111" s="8"/>
      <c r="AT111" s="8"/>
      <c r="AU111" s="8"/>
    </row>
    <row r="112" spans="17:47" x14ac:dyDescent="0.4">
      <c r="T112" s="5"/>
      <c r="U112" s="8"/>
      <c r="V112" s="8"/>
      <c r="X112" s="5"/>
      <c r="AB112" s="5"/>
      <c r="AC112" s="8"/>
      <c r="AD112" s="8"/>
      <c r="AE112" s="8"/>
      <c r="AF112" s="8"/>
      <c r="AI112" s="9"/>
      <c r="AN112" s="9"/>
      <c r="AP112" s="8"/>
      <c r="AQ112" s="10"/>
      <c r="AR112" s="10"/>
      <c r="AS112" s="8"/>
      <c r="AT112" s="8"/>
      <c r="AU112" s="8"/>
    </row>
    <row r="113" spans="20:47" x14ac:dyDescent="0.4">
      <c r="T113" s="5"/>
      <c r="U113" s="8"/>
      <c r="V113" s="8"/>
      <c r="X113" s="5"/>
      <c r="AB113" s="5"/>
      <c r="AC113" s="8"/>
      <c r="AD113" s="8"/>
      <c r="AE113" s="8"/>
      <c r="AF113" s="8"/>
      <c r="AI113" s="9"/>
      <c r="AN113" s="9"/>
      <c r="AP113" s="8"/>
      <c r="AQ113" s="10"/>
      <c r="AR113" s="10"/>
      <c r="AS113" s="8"/>
      <c r="AT113" s="8"/>
      <c r="AU113" s="8"/>
    </row>
    <row r="114" spans="20:47" x14ac:dyDescent="0.4">
      <c r="T114" s="5"/>
      <c r="U114" s="8"/>
      <c r="V114" s="8"/>
      <c r="X114" s="5"/>
      <c r="AB114" s="5"/>
      <c r="AC114" s="8"/>
      <c r="AD114" s="8"/>
      <c r="AE114" s="8"/>
      <c r="AF114" s="8"/>
      <c r="AI114" s="9"/>
      <c r="AN114" s="9"/>
      <c r="AP114" s="8"/>
      <c r="AQ114" s="10"/>
      <c r="AR114" s="10"/>
      <c r="AS114" s="8"/>
      <c r="AT114" s="8"/>
      <c r="AU114" s="8"/>
    </row>
    <row r="115" spans="20:47" x14ac:dyDescent="0.4">
      <c r="T115" s="5"/>
      <c r="U115" s="8"/>
      <c r="V115" s="8"/>
      <c r="X115" s="5"/>
      <c r="AB115" s="5"/>
      <c r="AC115" s="8"/>
      <c r="AD115" s="8"/>
      <c r="AE115" s="8"/>
      <c r="AF115" s="8"/>
      <c r="AI115" s="9"/>
      <c r="AN115" s="9"/>
      <c r="AP115" s="8"/>
      <c r="AQ115" s="10"/>
      <c r="AR115" s="10"/>
      <c r="AS115" s="8"/>
      <c r="AT115" s="8"/>
      <c r="AU115" s="8"/>
    </row>
    <row r="116" spans="20:47" x14ac:dyDescent="0.4">
      <c r="T116" s="5"/>
      <c r="U116" s="8"/>
      <c r="V116" s="8"/>
      <c r="X116" s="5"/>
      <c r="AB116" s="5"/>
      <c r="AC116" s="8"/>
      <c r="AD116" s="8"/>
      <c r="AE116" s="8"/>
      <c r="AF116" s="8"/>
      <c r="AI116" s="9"/>
      <c r="AN116" s="9"/>
      <c r="AP116" s="8"/>
      <c r="AQ116" s="10"/>
      <c r="AR116" s="10"/>
      <c r="AS116" s="8"/>
      <c r="AT116" s="8"/>
      <c r="AU116" s="8"/>
    </row>
    <row r="117" spans="20:47" x14ac:dyDescent="0.4">
      <c r="T117" s="5"/>
      <c r="U117" s="8"/>
      <c r="V117" s="8"/>
      <c r="X117" s="5"/>
      <c r="AB117" s="5"/>
      <c r="AC117" s="8"/>
      <c r="AD117" s="8"/>
      <c r="AE117" s="8"/>
      <c r="AF117" s="8"/>
      <c r="AI117" s="9"/>
      <c r="AN117" s="9"/>
      <c r="AP117" s="8"/>
      <c r="AQ117" s="10"/>
      <c r="AR117" s="10"/>
      <c r="AS117" s="8"/>
      <c r="AT117" s="8"/>
      <c r="AU117" s="8"/>
    </row>
    <row r="118" spans="20:47" x14ac:dyDescent="0.4">
      <c r="T118" s="5"/>
      <c r="U118" s="8"/>
      <c r="V118" s="8"/>
      <c r="X118" s="5"/>
      <c r="AB118" s="5"/>
      <c r="AC118" s="8"/>
      <c r="AD118" s="8"/>
      <c r="AE118" s="8"/>
      <c r="AF118" s="8"/>
      <c r="AI118" s="9"/>
      <c r="AN118" s="9"/>
      <c r="AP118" s="8"/>
      <c r="AQ118" s="10"/>
      <c r="AR118" s="10"/>
      <c r="AS118" s="8"/>
      <c r="AT118" s="8"/>
      <c r="AU118" s="8"/>
    </row>
    <row r="119" spans="20:47" x14ac:dyDescent="0.4">
      <c r="T119" s="5"/>
      <c r="U119" s="8"/>
      <c r="V119" s="8"/>
      <c r="X119" s="5"/>
      <c r="AB119" s="5"/>
      <c r="AC119" s="8"/>
      <c r="AD119" s="8"/>
      <c r="AE119" s="8"/>
      <c r="AF119" s="8"/>
      <c r="AI119" s="9"/>
      <c r="AN119" s="9"/>
      <c r="AP119" s="8"/>
      <c r="AQ119" s="10"/>
      <c r="AR119" s="10"/>
      <c r="AS119" s="8"/>
      <c r="AT119" s="8"/>
      <c r="AU119" s="8"/>
    </row>
    <row r="120" spans="20:47" x14ac:dyDescent="0.4">
      <c r="T120" s="5"/>
      <c r="U120" s="8"/>
      <c r="V120" s="8"/>
      <c r="X120" s="5"/>
      <c r="AB120" s="5"/>
      <c r="AC120" s="8"/>
      <c r="AD120" s="8"/>
      <c r="AE120" s="8"/>
      <c r="AF120" s="8"/>
      <c r="AI120" s="9"/>
      <c r="AN120" s="9"/>
      <c r="AP120" s="8"/>
      <c r="AQ120" s="10"/>
      <c r="AR120" s="10"/>
      <c r="AS120" s="8"/>
      <c r="AT120" s="8"/>
      <c r="AU120" s="8"/>
    </row>
    <row r="121" spans="20:47" x14ac:dyDescent="0.4">
      <c r="T121" s="5"/>
      <c r="U121" s="8"/>
      <c r="V121" s="8"/>
      <c r="X121" s="5"/>
      <c r="AB121" s="5"/>
      <c r="AC121" s="8"/>
      <c r="AD121" s="8"/>
      <c r="AE121" s="8"/>
      <c r="AF121" s="8"/>
      <c r="AI121" s="9"/>
      <c r="AN121" s="9"/>
      <c r="AP121" s="8"/>
      <c r="AQ121" s="10"/>
      <c r="AR121" s="10"/>
      <c r="AS121" s="8"/>
      <c r="AT121" s="8"/>
      <c r="AU121" s="8"/>
    </row>
    <row r="122" spans="20:47" x14ac:dyDescent="0.4">
      <c r="T122" s="5"/>
      <c r="U122" s="8"/>
      <c r="V122" s="8"/>
      <c r="X122" s="5"/>
      <c r="AB122" s="5"/>
      <c r="AC122" s="8"/>
      <c r="AD122" s="8"/>
      <c r="AE122" s="8"/>
      <c r="AF122" s="8"/>
      <c r="AI122" s="9"/>
      <c r="AN122" s="9"/>
      <c r="AP122" s="8"/>
      <c r="AQ122" s="10"/>
      <c r="AR122" s="10"/>
      <c r="AS122" s="8"/>
      <c r="AT122" s="8"/>
      <c r="AU122" s="8"/>
    </row>
    <row r="123" spans="20:47" x14ac:dyDescent="0.4">
      <c r="T123" s="5"/>
      <c r="U123" s="8"/>
      <c r="V123" s="8"/>
      <c r="X123" s="5"/>
      <c r="AB123" s="5"/>
      <c r="AC123" s="8"/>
      <c r="AD123" s="8"/>
      <c r="AE123" s="8"/>
      <c r="AF123" s="8"/>
      <c r="AI123" s="9"/>
      <c r="AN123" s="9"/>
      <c r="AP123" s="8"/>
      <c r="AQ123" s="10"/>
      <c r="AR123" s="10"/>
      <c r="AS123" s="8"/>
      <c r="AT123" s="8"/>
      <c r="AU123" s="8"/>
    </row>
    <row r="124" spans="20:47" x14ac:dyDescent="0.4">
      <c r="T124" s="5"/>
      <c r="U124" s="8"/>
      <c r="V124" s="8"/>
      <c r="X124" s="5"/>
      <c r="AB124" s="5"/>
      <c r="AC124" s="8"/>
      <c r="AD124" s="8"/>
      <c r="AE124" s="8"/>
      <c r="AF124" s="8"/>
      <c r="AI124" s="9"/>
      <c r="AN124" s="9"/>
      <c r="AP124" s="8"/>
      <c r="AQ124" s="10"/>
      <c r="AR124" s="10"/>
      <c r="AS124" s="8"/>
      <c r="AT124" s="8"/>
      <c r="AU124" s="8"/>
    </row>
    <row r="125" spans="20:47" x14ac:dyDescent="0.4">
      <c r="T125" s="5"/>
      <c r="U125" s="8"/>
      <c r="V125" s="8"/>
      <c r="X125" s="5"/>
      <c r="AB125" s="5"/>
      <c r="AC125" s="8"/>
      <c r="AD125" s="8"/>
      <c r="AE125" s="8"/>
      <c r="AF125" s="8"/>
      <c r="AI125" s="9"/>
      <c r="AN125" s="9"/>
      <c r="AP125" s="8"/>
      <c r="AQ125" s="10"/>
      <c r="AR125" s="10"/>
      <c r="AS125" s="8"/>
      <c r="AT125" s="8"/>
      <c r="AU125" s="8"/>
    </row>
    <row r="126" spans="20:47" x14ac:dyDescent="0.4">
      <c r="T126" s="5"/>
      <c r="U126" s="8"/>
      <c r="V126" s="8"/>
      <c r="X126" s="5"/>
      <c r="AB126" s="5"/>
      <c r="AC126" s="8"/>
      <c r="AD126" s="8"/>
      <c r="AE126" s="8"/>
      <c r="AF126" s="8"/>
      <c r="AI126" s="9"/>
      <c r="AN126" s="9"/>
      <c r="AP126" s="8"/>
      <c r="AQ126" s="10"/>
      <c r="AR126" s="10"/>
      <c r="AS126" s="8"/>
      <c r="AT126" s="8"/>
      <c r="AU126" s="8"/>
    </row>
    <row r="127" spans="20:47" x14ac:dyDescent="0.4">
      <c r="T127" s="5"/>
      <c r="U127" s="8"/>
      <c r="V127" s="8"/>
      <c r="X127" s="5"/>
      <c r="AB127" s="5"/>
      <c r="AC127" s="8"/>
      <c r="AD127" s="8"/>
      <c r="AE127" s="8"/>
      <c r="AF127" s="8"/>
      <c r="AI127" s="9"/>
      <c r="AN127" s="9"/>
      <c r="AP127" s="8"/>
      <c r="AQ127" s="10"/>
      <c r="AR127" s="10"/>
      <c r="AS127" s="8"/>
      <c r="AT127" s="8"/>
      <c r="AU127" s="8"/>
    </row>
    <row r="128" spans="20:47" x14ac:dyDescent="0.4">
      <c r="T128" s="5"/>
      <c r="U128" s="8"/>
      <c r="V128" s="8"/>
      <c r="X128" s="5"/>
      <c r="AB128" s="5"/>
      <c r="AC128" s="8"/>
      <c r="AD128" s="8"/>
      <c r="AE128" s="8"/>
      <c r="AF128" s="8"/>
      <c r="AI128" s="9"/>
      <c r="AN128" s="9"/>
      <c r="AP128" s="8"/>
      <c r="AQ128" s="10"/>
      <c r="AR128" s="10"/>
      <c r="AS128" s="8"/>
      <c r="AT128" s="8"/>
      <c r="AU128" s="8"/>
    </row>
    <row r="129" spans="20:47" x14ac:dyDescent="0.4">
      <c r="T129" s="5"/>
      <c r="U129" s="8"/>
      <c r="V129" s="8"/>
      <c r="X129" s="5"/>
      <c r="AB129" s="5"/>
      <c r="AC129" s="8"/>
      <c r="AD129" s="8"/>
      <c r="AE129" s="8"/>
      <c r="AF129" s="8"/>
      <c r="AI129" s="9"/>
      <c r="AN129" s="9"/>
      <c r="AP129" s="8"/>
      <c r="AQ129" s="10"/>
      <c r="AR129" s="10"/>
      <c r="AS129" s="8"/>
      <c r="AT129" s="8"/>
      <c r="AU129" s="8"/>
    </row>
    <row r="130" spans="20:47" x14ac:dyDescent="0.4">
      <c r="T130" s="5"/>
      <c r="U130" s="8"/>
      <c r="V130" s="8"/>
      <c r="X130" s="5"/>
      <c r="AB130" s="5"/>
      <c r="AC130" s="8"/>
      <c r="AD130" s="8"/>
      <c r="AE130" s="8"/>
      <c r="AF130" s="8"/>
      <c r="AI130" s="9"/>
      <c r="AN130" s="9"/>
      <c r="AP130" s="8"/>
      <c r="AQ130" s="10"/>
      <c r="AR130" s="10"/>
      <c r="AS130" s="8"/>
      <c r="AT130" s="8"/>
      <c r="AU130" s="8"/>
    </row>
    <row r="131" spans="20:47" x14ac:dyDescent="0.4">
      <c r="T131" s="5"/>
      <c r="U131" s="8"/>
      <c r="V131" s="8"/>
      <c r="X131" s="5"/>
      <c r="AB131" s="5"/>
      <c r="AC131" s="8"/>
      <c r="AD131" s="8"/>
      <c r="AE131" s="8"/>
      <c r="AF131" s="8"/>
      <c r="AI131" s="9"/>
      <c r="AN131" s="9"/>
      <c r="AP131" s="8"/>
      <c r="AQ131" s="10"/>
      <c r="AR131" s="10"/>
      <c r="AS131" s="8"/>
      <c r="AT131" s="8"/>
      <c r="AU131" s="8"/>
    </row>
    <row r="132" spans="20:47" x14ac:dyDescent="0.4">
      <c r="T132" s="5"/>
      <c r="U132" s="8"/>
      <c r="V132" s="8"/>
      <c r="X132" s="5"/>
      <c r="AB132" s="5"/>
      <c r="AC132" s="8"/>
      <c r="AD132" s="8"/>
      <c r="AE132" s="8"/>
      <c r="AF132" s="8"/>
      <c r="AI132" s="9"/>
      <c r="AN132" s="9"/>
      <c r="AP132" s="8"/>
      <c r="AQ132" s="10"/>
      <c r="AR132" s="10"/>
      <c r="AS132" s="8"/>
      <c r="AT132" s="8"/>
      <c r="AU132" s="8"/>
    </row>
    <row r="133" spans="20:47" x14ac:dyDescent="0.4">
      <c r="T133" s="5"/>
      <c r="U133" s="8"/>
      <c r="V133" s="8"/>
      <c r="X133" s="5"/>
      <c r="AB133" s="5"/>
      <c r="AC133" s="8"/>
      <c r="AD133" s="8"/>
      <c r="AE133" s="8"/>
      <c r="AF133" s="8"/>
      <c r="AI133" s="9"/>
      <c r="AN133" s="9"/>
      <c r="AP133" s="8"/>
      <c r="AQ133" s="10"/>
      <c r="AR133" s="10"/>
      <c r="AS133" s="8"/>
      <c r="AT133" s="8"/>
      <c r="AU133" s="8"/>
    </row>
    <row r="134" spans="20:47" x14ac:dyDescent="0.4">
      <c r="T134" s="5"/>
      <c r="U134" s="8"/>
      <c r="V134" s="8"/>
      <c r="X134" s="5"/>
      <c r="AB134" s="5"/>
      <c r="AC134" s="8"/>
      <c r="AD134" s="8"/>
      <c r="AE134" s="8"/>
      <c r="AF134" s="8"/>
      <c r="AI134" s="9"/>
      <c r="AN134" s="9"/>
      <c r="AP134" s="8"/>
      <c r="AQ134" s="10"/>
      <c r="AR134" s="10"/>
      <c r="AS134" s="8"/>
      <c r="AT134" s="8"/>
      <c r="AU134" s="8"/>
    </row>
    <row r="135" spans="20:47" x14ac:dyDescent="0.4">
      <c r="T135" s="5"/>
      <c r="U135" s="8"/>
      <c r="V135" s="8"/>
      <c r="X135" s="5"/>
      <c r="AB135" s="5"/>
      <c r="AC135" s="8"/>
      <c r="AD135" s="8"/>
      <c r="AE135" s="8"/>
      <c r="AF135" s="8"/>
      <c r="AI135" s="9"/>
      <c r="AN135" s="9"/>
      <c r="AP135" s="8"/>
      <c r="AQ135" s="10"/>
      <c r="AR135" s="10"/>
      <c r="AS135" s="8"/>
      <c r="AT135" s="8"/>
      <c r="AU135" s="8"/>
    </row>
    <row r="136" spans="20:47" x14ac:dyDescent="0.4">
      <c r="T136" s="5"/>
      <c r="U136" s="8"/>
      <c r="V136" s="8"/>
      <c r="X136" s="5"/>
      <c r="AB136" s="5"/>
      <c r="AC136" s="8"/>
      <c r="AD136" s="8"/>
      <c r="AE136" s="8"/>
      <c r="AF136" s="8"/>
      <c r="AI136" s="9"/>
      <c r="AN136" s="9"/>
      <c r="AP136" s="8"/>
      <c r="AQ136" s="10"/>
      <c r="AR136" s="10"/>
      <c r="AS136" s="8"/>
      <c r="AT136" s="8"/>
      <c r="AU136" s="8"/>
    </row>
    <row r="137" spans="20:47" x14ac:dyDescent="0.4">
      <c r="T137" s="5"/>
      <c r="U137" s="8"/>
      <c r="V137" s="8"/>
      <c r="X137" s="5"/>
      <c r="AB137" s="5"/>
      <c r="AC137" s="8"/>
      <c r="AD137" s="8"/>
      <c r="AE137" s="8"/>
      <c r="AF137" s="8"/>
      <c r="AI137" s="9"/>
      <c r="AN137" s="9"/>
      <c r="AP137" s="8"/>
      <c r="AQ137" s="10"/>
      <c r="AR137" s="10"/>
      <c r="AS137" s="8"/>
      <c r="AT137" s="8"/>
      <c r="AU137" s="8"/>
    </row>
    <row r="138" spans="20:47" x14ac:dyDescent="0.4">
      <c r="T138" s="5"/>
      <c r="U138" s="8"/>
      <c r="V138" s="8"/>
      <c r="X138" s="5"/>
      <c r="AB138" s="5"/>
      <c r="AC138" s="8"/>
      <c r="AD138" s="8"/>
      <c r="AE138" s="8"/>
      <c r="AF138" s="8"/>
      <c r="AI138" s="9"/>
      <c r="AN138" s="9"/>
      <c r="AP138" s="8"/>
      <c r="AQ138" s="10"/>
      <c r="AR138" s="10"/>
      <c r="AS138" s="8"/>
      <c r="AT138" s="8"/>
      <c r="AU138" s="8"/>
    </row>
    <row r="139" spans="20:47" x14ac:dyDescent="0.4">
      <c r="T139" s="5"/>
      <c r="U139" s="8"/>
      <c r="V139" s="8"/>
      <c r="X139" s="5"/>
      <c r="AB139" s="5"/>
      <c r="AC139" s="8"/>
      <c r="AD139" s="8"/>
      <c r="AE139" s="8"/>
      <c r="AF139" s="8"/>
      <c r="AI139" s="9"/>
      <c r="AN139" s="9"/>
      <c r="AP139" s="8"/>
      <c r="AQ139" s="10"/>
      <c r="AR139" s="10"/>
      <c r="AS139" s="8"/>
      <c r="AT139" s="8"/>
      <c r="AU139" s="8"/>
    </row>
    <row r="140" spans="20:47" x14ac:dyDescent="0.4">
      <c r="T140" s="5"/>
      <c r="U140" s="8"/>
      <c r="V140" s="8"/>
      <c r="X140" s="5"/>
      <c r="AB140" s="5"/>
      <c r="AC140" s="8"/>
      <c r="AD140" s="8"/>
      <c r="AE140" s="8"/>
      <c r="AF140" s="8"/>
      <c r="AI140" s="9"/>
      <c r="AN140" s="9"/>
      <c r="AP140" s="8"/>
      <c r="AQ140" s="10"/>
      <c r="AR140" s="10"/>
      <c r="AS140" s="8"/>
      <c r="AT140" s="8"/>
      <c r="AU140" s="8"/>
    </row>
    <row r="141" spans="20:47" x14ac:dyDescent="0.4">
      <c r="T141" s="5"/>
      <c r="U141" s="8"/>
      <c r="V141" s="8"/>
      <c r="X141" s="5"/>
      <c r="AB141" s="5"/>
      <c r="AC141" s="8"/>
      <c r="AD141" s="8"/>
      <c r="AE141" s="8"/>
      <c r="AF141" s="8"/>
      <c r="AI141" s="9"/>
      <c r="AN141" s="9"/>
      <c r="AP141" s="8"/>
      <c r="AQ141" s="10"/>
      <c r="AR141" s="10"/>
      <c r="AS141" s="8"/>
      <c r="AT141" s="8"/>
      <c r="AU141" s="8"/>
    </row>
    <row r="142" spans="20:47" x14ac:dyDescent="0.4">
      <c r="T142" s="5"/>
      <c r="U142" s="8"/>
      <c r="V142" s="8"/>
      <c r="X142" s="5"/>
      <c r="AB142" s="5"/>
      <c r="AC142" s="8"/>
      <c r="AD142" s="8"/>
      <c r="AE142" s="8"/>
      <c r="AF142" s="8"/>
      <c r="AI142" s="9"/>
      <c r="AN142" s="9"/>
      <c r="AP142" s="8"/>
      <c r="AQ142" s="10"/>
      <c r="AR142" s="10"/>
      <c r="AS142" s="8"/>
      <c r="AT142" s="8"/>
      <c r="AU142" s="8"/>
    </row>
    <row r="143" spans="20:47" x14ac:dyDescent="0.4">
      <c r="T143" s="5"/>
      <c r="U143" s="8"/>
      <c r="V143" s="8"/>
      <c r="X143" s="5"/>
      <c r="AB143" s="5"/>
      <c r="AC143" s="8"/>
      <c r="AD143" s="8"/>
      <c r="AE143" s="8"/>
      <c r="AF143" s="8"/>
      <c r="AI143" s="9"/>
      <c r="AN143" s="9"/>
      <c r="AP143" s="8"/>
      <c r="AQ143" s="10"/>
      <c r="AR143" s="10"/>
      <c r="AS143" s="8"/>
      <c r="AT143" s="8"/>
      <c r="AU143" s="8"/>
    </row>
    <row r="144" spans="20:47" x14ac:dyDescent="0.4">
      <c r="T144" s="5"/>
      <c r="U144" s="8"/>
      <c r="V144" s="8"/>
      <c r="X144" s="5"/>
      <c r="AB144" s="5"/>
      <c r="AC144" s="8"/>
      <c r="AD144" s="8"/>
      <c r="AE144" s="8"/>
      <c r="AF144" s="8"/>
      <c r="AI144" s="9"/>
      <c r="AN144" s="9"/>
      <c r="AP144" s="8"/>
      <c r="AQ144" s="10"/>
      <c r="AR144" s="10"/>
      <c r="AS144" s="8"/>
      <c r="AT144" s="8"/>
      <c r="AU144" s="8"/>
    </row>
    <row r="145" spans="20:47" x14ac:dyDescent="0.4">
      <c r="T145" s="5"/>
      <c r="U145" s="8"/>
      <c r="V145" s="8"/>
      <c r="X145" s="5"/>
      <c r="AB145" s="5"/>
      <c r="AC145" s="8"/>
      <c r="AD145" s="8"/>
      <c r="AE145" s="8"/>
      <c r="AF145" s="8"/>
      <c r="AI145" s="9"/>
      <c r="AN145" s="9"/>
      <c r="AP145" s="8"/>
      <c r="AQ145" s="10"/>
      <c r="AR145" s="10"/>
      <c r="AS145" s="8"/>
      <c r="AT145" s="8"/>
      <c r="AU145" s="8"/>
    </row>
    <row r="146" spans="20:47" x14ac:dyDescent="0.4">
      <c r="T146" s="5"/>
      <c r="U146" s="8"/>
      <c r="V146" s="8"/>
      <c r="X146" s="5"/>
      <c r="AB146" s="5"/>
      <c r="AC146" s="8"/>
      <c r="AD146" s="8"/>
      <c r="AE146" s="8"/>
      <c r="AF146" s="8"/>
      <c r="AI146" s="9"/>
      <c r="AN146" s="9"/>
      <c r="AP146" s="8"/>
      <c r="AQ146" s="10"/>
      <c r="AR146" s="10"/>
      <c r="AS146" s="8"/>
      <c r="AT146" s="8"/>
      <c r="AU146" s="8"/>
    </row>
    <row r="147" spans="20:47" x14ac:dyDescent="0.4">
      <c r="T147" s="5"/>
      <c r="U147" s="8"/>
      <c r="V147" s="8"/>
      <c r="X147" s="5"/>
      <c r="AB147" s="5"/>
      <c r="AC147" s="8"/>
      <c r="AD147" s="8"/>
      <c r="AE147" s="8"/>
      <c r="AF147" s="8"/>
      <c r="AI147" s="9"/>
      <c r="AN147" s="9"/>
      <c r="AP147" s="8"/>
      <c r="AQ147" s="10"/>
      <c r="AR147" s="10"/>
      <c r="AS147" s="8"/>
      <c r="AT147" s="8"/>
      <c r="AU147" s="8"/>
    </row>
    <row r="148" spans="20:47" x14ac:dyDescent="0.4">
      <c r="T148" s="5"/>
      <c r="U148" s="8"/>
      <c r="V148" s="8"/>
      <c r="X148" s="5"/>
      <c r="AB148" s="5"/>
      <c r="AC148" s="8"/>
      <c r="AD148" s="8"/>
      <c r="AE148" s="8"/>
      <c r="AF148" s="8"/>
      <c r="AI148" s="9"/>
      <c r="AN148" s="9"/>
      <c r="AP148" s="8"/>
      <c r="AQ148" s="10"/>
      <c r="AR148" s="10"/>
      <c r="AS148" s="8"/>
      <c r="AT148" s="8"/>
      <c r="AU148" s="8"/>
    </row>
    <row r="149" spans="20:47" x14ac:dyDescent="0.4">
      <c r="T149" s="5"/>
      <c r="U149" s="8"/>
      <c r="V149" s="8"/>
      <c r="X149" s="5"/>
      <c r="AB149" s="5"/>
      <c r="AC149" s="8"/>
      <c r="AD149" s="8"/>
      <c r="AE149" s="8"/>
      <c r="AF149" s="8"/>
      <c r="AI149" s="9"/>
      <c r="AN149" s="9"/>
      <c r="AP149" s="8"/>
      <c r="AQ149" s="10"/>
      <c r="AR149" s="10"/>
      <c r="AS149" s="8"/>
      <c r="AT149" s="8"/>
      <c r="AU149" s="8"/>
    </row>
    <row r="150" spans="20:47" x14ac:dyDescent="0.4">
      <c r="T150" s="5"/>
      <c r="U150" s="8"/>
      <c r="V150" s="8"/>
      <c r="X150" s="5"/>
      <c r="AB150" s="5"/>
      <c r="AC150" s="8"/>
      <c r="AD150" s="8"/>
      <c r="AE150" s="8"/>
      <c r="AF150" s="8"/>
      <c r="AI150" s="9"/>
      <c r="AN150" s="9"/>
      <c r="AP150" s="8"/>
      <c r="AQ150" s="10"/>
      <c r="AR150" s="10"/>
      <c r="AS150" s="8"/>
      <c r="AT150" s="8"/>
      <c r="AU150" s="8"/>
    </row>
    <row r="151" spans="20:47" x14ac:dyDescent="0.4">
      <c r="T151" s="5"/>
      <c r="U151" s="8"/>
      <c r="V151" s="8"/>
      <c r="X151" s="5"/>
      <c r="AB151" s="5"/>
      <c r="AC151" s="8"/>
      <c r="AD151" s="8"/>
      <c r="AE151" s="8"/>
      <c r="AF151" s="8"/>
      <c r="AI151" s="9"/>
      <c r="AN151" s="9"/>
      <c r="AP151" s="8"/>
      <c r="AQ151" s="10"/>
      <c r="AR151" s="10"/>
      <c r="AS151" s="8"/>
      <c r="AT151" s="8"/>
      <c r="AU151" s="8"/>
    </row>
    <row r="152" spans="20:47" x14ac:dyDescent="0.4">
      <c r="T152" s="5"/>
      <c r="U152" s="8"/>
      <c r="V152" s="8"/>
      <c r="X152" s="5"/>
      <c r="AB152" s="5"/>
      <c r="AC152" s="8"/>
      <c r="AD152" s="8"/>
      <c r="AE152" s="8"/>
      <c r="AF152" s="8"/>
      <c r="AI152" s="9"/>
      <c r="AN152" s="9"/>
      <c r="AP152" s="8"/>
      <c r="AQ152" s="10"/>
      <c r="AR152" s="10"/>
      <c r="AS152" s="8"/>
      <c r="AT152" s="8"/>
      <c r="AU152" s="8"/>
    </row>
    <row r="153" spans="20:47" x14ac:dyDescent="0.4">
      <c r="T153" s="5"/>
      <c r="U153" s="8"/>
      <c r="V153" s="8"/>
      <c r="X153" s="5"/>
      <c r="AB153" s="5"/>
      <c r="AC153" s="8"/>
      <c r="AD153" s="8"/>
      <c r="AE153" s="8"/>
      <c r="AF153" s="8"/>
      <c r="AI153" s="9"/>
      <c r="AN153" s="9"/>
      <c r="AP153" s="8"/>
      <c r="AQ153" s="10"/>
      <c r="AR153" s="10"/>
      <c r="AS153" s="8"/>
      <c r="AT153" s="8"/>
      <c r="AU153" s="8"/>
    </row>
    <row r="154" spans="20:47" x14ac:dyDescent="0.4">
      <c r="T154" s="5"/>
      <c r="U154" s="8"/>
      <c r="V154" s="8"/>
      <c r="X154" s="5"/>
      <c r="AB154" s="5"/>
      <c r="AC154" s="8"/>
      <c r="AD154" s="8"/>
      <c r="AE154" s="8"/>
      <c r="AF154" s="8"/>
      <c r="AI154" s="9"/>
      <c r="AN154" s="9"/>
      <c r="AP154" s="8"/>
      <c r="AQ154" s="10"/>
      <c r="AR154" s="10"/>
      <c r="AS154" s="8"/>
      <c r="AT154" s="8"/>
      <c r="AU154" s="8"/>
    </row>
    <row r="155" spans="20:47" x14ac:dyDescent="0.4">
      <c r="T155" s="5"/>
      <c r="U155" s="8"/>
      <c r="V155" s="8"/>
      <c r="X155" s="5"/>
      <c r="AB155" s="5"/>
      <c r="AC155" s="8"/>
      <c r="AD155" s="8"/>
      <c r="AE155" s="8"/>
      <c r="AF155" s="8"/>
      <c r="AI155" s="9"/>
      <c r="AN155" s="9"/>
      <c r="AP155" s="8"/>
      <c r="AQ155" s="10"/>
      <c r="AR155" s="10"/>
      <c r="AS155" s="8"/>
      <c r="AT155" s="8"/>
      <c r="AU155" s="8"/>
    </row>
    <row r="156" spans="20:47" x14ac:dyDescent="0.4">
      <c r="T156" s="5"/>
      <c r="U156" s="8"/>
      <c r="V156" s="8"/>
      <c r="X156" s="5"/>
      <c r="AB156" s="5"/>
      <c r="AC156" s="8"/>
      <c r="AD156" s="8"/>
      <c r="AE156" s="8"/>
      <c r="AF156" s="8"/>
      <c r="AI156" s="9"/>
      <c r="AN156" s="9"/>
      <c r="AP156" s="8"/>
      <c r="AQ156" s="10"/>
      <c r="AR156" s="10"/>
      <c r="AS156" s="8"/>
      <c r="AT156" s="8"/>
      <c r="AU156" s="8"/>
    </row>
    <row r="157" spans="20:47" x14ac:dyDescent="0.4">
      <c r="T157" s="5"/>
      <c r="U157" s="8"/>
      <c r="V157" s="8"/>
      <c r="X157" s="5"/>
      <c r="AB157" s="5"/>
      <c r="AC157" s="8"/>
      <c r="AD157" s="8"/>
      <c r="AE157" s="8"/>
      <c r="AF157" s="8"/>
      <c r="AI157" s="9"/>
      <c r="AN157" s="9"/>
      <c r="AP157" s="8"/>
      <c r="AQ157" s="10"/>
      <c r="AR157" s="10"/>
      <c r="AS157" s="8"/>
      <c r="AT157" s="8"/>
      <c r="AU157" s="8"/>
    </row>
    <row r="158" spans="20:47" x14ac:dyDescent="0.4">
      <c r="T158" s="5"/>
      <c r="U158" s="8"/>
      <c r="V158" s="8"/>
      <c r="X158" s="5"/>
      <c r="AB158" s="5"/>
      <c r="AC158" s="8"/>
      <c r="AD158" s="8"/>
      <c r="AE158" s="8"/>
      <c r="AF158" s="8"/>
      <c r="AI158" s="9"/>
      <c r="AN158" s="9"/>
      <c r="AP158" s="8"/>
      <c r="AQ158" s="10"/>
      <c r="AR158" s="10"/>
      <c r="AS158" s="8"/>
      <c r="AT158" s="8"/>
      <c r="AU158" s="8"/>
    </row>
    <row r="159" spans="20:47" x14ac:dyDescent="0.4">
      <c r="T159" s="5"/>
      <c r="U159" s="8"/>
      <c r="V159" s="8"/>
      <c r="X159" s="5"/>
      <c r="AB159" s="5"/>
      <c r="AC159" s="8"/>
      <c r="AD159" s="8"/>
      <c r="AE159" s="8"/>
      <c r="AF159" s="8"/>
      <c r="AI159" s="9"/>
      <c r="AN159" s="9"/>
      <c r="AP159" s="8"/>
      <c r="AQ159" s="10"/>
      <c r="AR159" s="10"/>
      <c r="AS159" s="8"/>
      <c r="AT159" s="8"/>
      <c r="AU159" s="8"/>
    </row>
    <row r="160" spans="20:47" x14ac:dyDescent="0.4">
      <c r="T160" s="5"/>
      <c r="U160" s="8"/>
      <c r="V160" s="8"/>
      <c r="X160" s="5"/>
      <c r="AB160" s="5"/>
      <c r="AC160" s="8"/>
      <c r="AD160" s="8"/>
      <c r="AE160" s="8"/>
      <c r="AF160" s="8"/>
      <c r="AI160" s="9"/>
      <c r="AN160" s="9"/>
      <c r="AP160" s="8"/>
      <c r="AQ160" s="10"/>
      <c r="AR160" s="10"/>
      <c r="AS160" s="8"/>
      <c r="AT160" s="8"/>
      <c r="AU160" s="8"/>
    </row>
    <row r="161" spans="20:47" x14ac:dyDescent="0.4">
      <c r="T161" s="5"/>
      <c r="U161" s="8"/>
      <c r="V161" s="8"/>
      <c r="X161" s="5"/>
      <c r="AB161" s="5"/>
      <c r="AC161" s="8"/>
      <c r="AD161" s="8"/>
      <c r="AE161" s="8"/>
      <c r="AF161" s="8"/>
      <c r="AI161" s="9"/>
      <c r="AN161" s="9"/>
      <c r="AP161" s="8"/>
      <c r="AQ161" s="10"/>
      <c r="AR161" s="10"/>
      <c r="AS161" s="8"/>
      <c r="AT161" s="8"/>
      <c r="AU161" s="8"/>
    </row>
    <row r="162" spans="20:47" x14ac:dyDescent="0.4">
      <c r="T162" s="5"/>
      <c r="U162" s="8"/>
      <c r="V162" s="8"/>
      <c r="X162" s="5"/>
      <c r="AB162" s="5"/>
      <c r="AC162" s="8"/>
      <c r="AD162" s="8"/>
      <c r="AE162" s="8"/>
      <c r="AF162" s="8"/>
      <c r="AI162" s="9"/>
      <c r="AN162" s="9"/>
      <c r="AP162" s="8"/>
      <c r="AQ162" s="10"/>
      <c r="AR162" s="10"/>
      <c r="AS162" s="8"/>
      <c r="AT162" s="8"/>
      <c r="AU162" s="8"/>
    </row>
    <row r="163" spans="20:47" x14ac:dyDescent="0.4">
      <c r="T163" s="5"/>
      <c r="U163" s="8"/>
      <c r="V163" s="8"/>
      <c r="X163" s="5"/>
      <c r="AB163" s="5"/>
      <c r="AC163" s="8"/>
      <c r="AD163" s="8"/>
      <c r="AE163" s="8"/>
      <c r="AF163" s="8"/>
      <c r="AI163" s="9"/>
      <c r="AN163" s="9"/>
      <c r="AP163" s="8"/>
      <c r="AQ163" s="10"/>
      <c r="AR163" s="10"/>
      <c r="AS163" s="8"/>
      <c r="AT163" s="8"/>
      <c r="AU163" s="8"/>
    </row>
    <row r="164" spans="20:47" x14ac:dyDescent="0.4">
      <c r="T164" s="5"/>
      <c r="U164" s="8"/>
      <c r="V164" s="8"/>
      <c r="X164" s="5"/>
      <c r="AB164" s="5"/>
      <c r="AC164" s="8"/>
      <c r="AD164" s="8"/>
      <c r="AE164" s="8"/>
      <c r="AF164" s="8"/>
      <c r="AI164" s="9"/>
      <c r="AN164" s="9"/>
      <c r="AP164" s="8"/>
      <c r="AQ164" s="10"/>
      <c r="AR164" s="10"/>
      <c r="AS164" s="8"/>
      <c r="AT164" s="8"/>
      <c r="AU164" s="8"/>
    </row>
    <row r="165" spans="20:47" x14ac:dyDescent="0.4">
      <c r="T165" s="5"/>
      <c r="U165" s="8"/>
      <c r="V165" s="8"/>
      <c r="X165" s="5"/>
      <c r="AB165" s="5"/>
      <c r="AC165" s="8"/>
      <c r="AD165" s="8"/>
      <c r="AE165" s="8"/>
      <c r="AF165" s="8"/>
      <c r="AI165" s="9"/>
      <c r="AN165" s="9"/>
      <c r="AP165" s="8"/>
      <c r="AQ165" s="10"/>
      <c r="AR165" s="10"/>
      <c r="AS165" s="8"/>
      <c r="AT165" s="8"/>
      <c r="AU165" s="8"/>
    </row>
    <row r="166" spans="20:47" x14ac:dyDescent="0.4">
      <c r="T166" s="5"/>
      <c r="U166" s="8"/>
      <c r="V166" s="8"/>
      <c r="X166" s="5"/>
      <c r="AB166" s="5"/>
      <c r="AC166" s="8"/>
      <c r="AD166" s="8"/>
      <c r="AE166" s="8"/>
      <c r="AF166" s="8"/>
      <c r="AI166" s="9"/>
      <c r="AN166" s="9"/>
      <c r="AP166" s="8"/>
      <c r="AQ166" s="10"/>
      <c r="AR166" s="10"/>
      <c r="AS166" s="8"/>
      <c r="AT166" s="8"/>
      <c r="AU166" s="8"/>
    </row>
    <row r="167" spans="20:47" x14ac:dyDescent="0.4">
      <c r="T167" s="5"/>
      <c r="U167" s="8"/>
      <c r="V167" s="8"/>
      <c r="X167" s="5"/>
      <c r="AB167" s="5"/>
      <c r="AC167" s="8"/>
      <c r="AD167" s="8"/>
      <c r="AE167" s="8"/>
      <c r="AF167" s="8"/>
      <c r="AI167" s="9"/>
      <c r="AN167" s="9"/>
      <c r="AP167" s="8"/>
      <c r="AQ167" s="10"/>
      <c r="AR167" s="10"/>
      <c r="AS167" s="8"/>
      <c r="AT167" s="8"/>
      <c r="AU167" s="8"/>
    </row>
    <row r="168" spans="20:47" x14ac:dyDescent="0.4">
      <c r="T168" s="5"/>
      <c r="U168" s="8"/>
      <c r="V168" s="8"/>
      <c r="X168" s="5"/>
      <c r="AB168" s="5"/>
      <c r="AC168" s="8"/>
      <c r="AD168" s="8"/>
      <c r="AE168" s="8"/>
      <c r="AF168" s="8"/>
      <c r="AI168" s="9"/>
      <c r="AN168" s="9"/>
      <c r="AP168" s="8"/>
      <c r="AQ168" s="10"/>
      <c r="AR168" s="10"/>
      <c r="AS168" s="8"/>
      <c r="AT168" s="8"/>
      <c r="AU168" s="8"/>
    </row>
    <row r="169" spans="20:47" x14ac:dyDescent="0.4">
      <c r="T169" s="5"/>
      <c r="U169" s="8"/>
      <c r="V169" s="8"/>
      <c r="X169" s="5"/>
      <c r="AB169" s="5"/>
      <c r="AC169" s="8"/>
      <c r="AD169" s="8"/>
      <c r="AE169" s="8"/>
      <c r="AF169" s="8"/>
      <c r="AI169" s="9"/>
      <c r="AN169" s="9"/>
      <c r="AP169" s="8"/>
      <c r="AQ169" s="10"/>
      <c r="AR169" s="10"/>
      <c r="AS169" s="8"/>
      <c r="AT169" s="8"/>
      <c r="AU169" s="8"/>
    </row>
    <row r="170" spans="20:47" x14ac:dyDescent="0.4">
      <c r="T170" s="5"/>
      <c r="U170" s="8"/>
      <c r="V170" s="8"/>
      <c r="X170" s="5"/>
      <c r="AB170" s="5"/>
      <c r="AC170" s="8"/>
      <c r="AD170" s="8"/>
      <c r="AE170" s="8"/>
      <c r="AF170" s="8"/>
      <c r="AI170" s="9"/>
      <c r="AN170" s="9"/>
      <c r="AP170" s="8"/>
      <c r="AQ170" s="10"/>
      <c r="AR170" s="10"/>
      <c r="AS170" s="8"/>
      <c r="AT170" s="8"/>
      <c r="AU170" s="8"/>
    </row>
    <row r="171" spans="20:47" x14ac:dyDescent="0.4">
      <c r="T171" s="5"/>
      <c r="U171" s="8"/>
      <c r="V171" s="8"/>
      <c r="X171" s="5"/>
      <c r="AB171" s="5"/>
      <c r="AC171" s="8"/>
      <c r="AD171" s="8"/>
      <c r="AE171" s="8"/>
      <c r="AF171" s="8"/>
      <c r="AI171" s="9"/>
      <c r="AN171" s="9"/>
      <c r="AP171" s="8"/>
      <c r="AQ171" s="10"/>
      <c r="AR171" s="10"/>
      <c r="AS171" s="8"/>
      <c r="AT171" s="8"/>
      <c r="AU171" s="8"/>
    </row>
    <row r="172" spans="20:47" x14ac:dyDescent="0.4">
      <c r="T172" s="5"/>
      <c r="U172" s="8"/>
      <c r="V172" s="8"/>
      <c r="X172" s="5"/>
      <c r="AB172" s="5"/>
      <c r="AC172" s="8"/>
      <c r="AD172" s="8"/>
      <c r="AE172" s="8"/>
      <c r="AF172" s="8"/>
      <c r="AI172" s="9"/>
      <c r="AN172" s="9"/>
      <c r="AP172" s="8"/>
      <c r="AQ172" s="10"/>
      <c r="AR172" s="10"/>
      <c r="AS172" s="8"/>
      <c r="AT172" s="8"/>
      <c r="AU172" s="8"/>
    </row>
    <row r="173" spans="20:47" x14ac:dyDescent="0.4">
      <c r="T173" s="5"/>
      <c r="U173" s="8"/>
      <c r="V173" s="8"/>
      <c r="X173" s="5"/>
      <c r="AB173" s="5"/>
      <c r="AC173" s="8"/>
      <c r="AD173" s="8"/>
      <c r="AE173" s="8"/>
      <c r="AF173" s="8"/>
      <c r="AI173" s="9"/>
      <c r="AN173" s="9"/>
      <c r="AP173" s="8"/>
      <c r="AQ173" s="10"/>
      <c r="AR173" s="10"/>
      <c r="AS173" s="8"/>
      <c r="AT173" s="8"/>
      <c r="AU173" s="8"/>
    </row>
    <row r="174" spans="20:47" x14ac:dyDescent="0.4">
      <c r="T174" s="5"/>
      <c r="U174" s="8"/>
      <c r="V174" s="8"/>
      <c r="X174" s="5"/>
      <c r="AB174" s="5"/>
      <c r="AC174" s="8"/>
      <c r="AD174" s="8"/>
      <c r="AE174" s="8"/>
      <c r="AF174" s="8"/>
      <c r="AI174" s="9"/>
      <c r="AN174" s="9"/>
      <c r="AP174" s="8"/>
      <c r="AQ174" s="10"/>
      <c r="AR174" s="10"/>
      <c r="AS174" s="8"/>
      <c r="AT174" s="8"/>
      <c r="AU174" s="8"/>
    </row>
    <row r="175" spans="20:47" x14ac:dyDescent="0.4">
      <c r="T175" s="5"/>
      <c r="U175" s="8"/>
      <c r="V175" s="8"/>
      <c r="X175" s="5"/>
      <c r="AB175" s="5"/>
      <c r="AC175" s="8"/>
      <c r="AD175" s="8"/>
      <c r="AE175" s="8"/>
      <c r="AF175" s="8"/>
      <c r="AI175" s="9"/>
      <c r="AN175" s="9"/>
      <c r="AP175" s="8"/>
      <c r="AQ175" s="10"/>
      <c r="AR175" s="10"/>
      <c r="AS175" s="8"/>
      <c r="AT175" s="8"/>
      <c r="AU175" s="8"/>
    </row>
    <row r="176" spans="20:47" x14ac:dyDescent="0.4">
      <c r="T176" s="5"/>
      <c r="U176" s="8"/>
      <c r="V176" s="8"/>
      <c r="X176" s="5"/>
      <c r="AB176" s="5"/>
      <c r="AC176" s="8"/>
      <c r="AD176" s="8"/>
      <c r="AE176" s="8"/>
      <c r="AF176" s="8"/>
      <c r="AI176" s="9"/>
      <c r="AN176" s="9"/>
      <c r="AP176" s="8"/>
      <c r="AQ176" s="10"/>
      <c r="AR176" s="10"/>
      <c r="AS176" s="8"/>
      <c r="AT176" s="8"/>
      <c r="AU176" s="8"/>
    </row>
    <row r="177" spans="20:47" x14ac:dyDescent="0.4">
      <c r="T177" s="5"/>
      <c r="U177" s="8"/>
      <c r="V177" s="8"/>
      <c r="X177" s="5"/>
      <c r="AB177" s="5"/>
      <c r="AC177" s="8"/>
      <c r="AD177" s="8"/>
      <c r="AE177" s="8"/>
      <c r="AF177" s="8"/>
      <c r="AI177" s="9"/>
      <c r="AN177" s="9"/>
      <c r="AP177" s="8"/>
      <c r="AQ177" s="10"/>
      <c r="AR177" s="10"/>
      <c r="AS177" s="8"/>
      <c r="AT177" s="8"/>
      <c r="AU177" s="8"/>
    </row>
    <row r="178" spans="20:47" x14ac:dyDescent="0.4">
      <c r="T178" s="5"/>
      <c r="U178" s="8"/>
      <c r="V178" s="8"/>
      <c r="X178" s="5"/>
      <c r="AB178" s="5"/>
      <c r="AC178" s="8"/>
      <c r="AD178" s="8"/>
      <c r="AE178" s="8"/>
      <c r="AF178" s="8"/>
      <c r="AI178" s="9"/>
      <c r="AN178" s="9"/>
      <c r="AP178" s="8"/>
      <c r="AQ178" s="10"/>
      <c r="AR178" s="10"/>
      <c r="AS178" s="8"/>
      <c r="AT178" s="8"/>
      <c r="AU178" s="8"/>
    </row>
    <row r="179" spans="20:47" x14ac:dyDescent="0.4">
      <c r="T179" s="5"/>
      <c r="U179" s="8"/>
      <c r="V179" s="8"/>
      <c r="X179" s="5"/>
      <c r="AB179" s="5"/>
      <c r="AC179" s="8"/>
      <c r="AD179" s="8"/>
      <c r="AE179" s="8"/>
      <c r="AF179" s="8"/>
      <c r="AI179" s="9"/>
      <c r="AN179" s="9"/>
      <c r="AP179" s="8"/>
      <c r="AQ179" s="10"/>
      <c r="AR179" s="10"/>
      <c r="AS179" s="8"/>
      <c r="AT179" s="8"/>
      <c r="AU179" s="8"/>
    </row>
    <row r="180" spans="20:47" x14ac:dyDescent="0.4">
      <c r="T180" s="5"/>
      <c r="U180" s="8"/>
      <c r="V180" s="8"/>
      <c r="X180" s="5"/>
      <c r="AB180" s="5"/>
      <c r="AC180" s="8"/>
      <c r="AD180" s="8"/>
      <c r="AE180" s="8"/>
      <c r="AF180" s="8"/>
      <c r="AI180" s="9"/>
      <c r="AN180" s="9"/>
      <c r="AP180" s="8"/>
      <c r="AQ180" s="10"/>
      <c r="AR180" s="10"/>
      <c r="AS180" s="8"/>
      <c r="AT180" s="8"/>
      <c r="AU180" s="8"/>
    </row>
    <row r="181" spans="20:47" x14ac:dyDescent="0.4">
      <c r="T181" s="5"/>
      <c r="U181" s="8"/>
      <c r="V181" s="8"/>
      <c r="X181" s="5"/>
      <c r="AB181" s="5"/>
      <c r="AC181" s="8"/>
      <c r="AD181" s="8"/>
      <c r="AE181" s="8"/>
      <c r="AF181" s="8"/>
      <c r="AI181" s="9"/>
      <c r="AN181" s="9"/>
      <c r="AP181" s="8"/>
      <c r="AQ181" s="10"/>
      <c r="AR181" s="10"/>
      <c r="AS181" s="8"/>
      <c r="AT181" s="8"/>
      <c r="AU181" s="8"/>
    </row>
    <row r="182" spans="20:47" x14ac:dyDescent="0.4">
      <c r="T182" s="5"/>
      <c r="U182" s="8"/>
      <c r="V182" s="8"/>
      <c r="X182" s="5"/>
      <c r="AB182" s="5"/>
      <c r="AC182" s="8"/>
      <c r="AD182" s="8"/>
      <c r="AE182" s="8"/>
      <c r="AF182" s="8"/>
      <c r="AI182" s="9"/>
      <c r="AN182" s="9"/>
      <c r="AP182" s="8"/>
      <c r="AQ182" s="10"/>
      <c r="AR182" s="10"/>
      <c r="AS182" s="8"/>
      <c r="AT182" s="8"/>
      <c r="AU182" s="8"/>
    </row>
    <row r="183" spans="20:47" x14ac:dyDescent="0.4">
      <c r="T183" s="5"/>
      <c r="U183" s="8"/>
      <c r="V183" s="8"/>
      <c r="X183" s="5"/>
      <c r="AB183" s="5"/>
      <c r="AC183" s="8"/>
      <c r="AD183" s="8"/>
      <c r="AE183" s="8"/>
      <c r="AF183" s="8"/>
      <c r="AI183" s="9"/>
      <c r="AN183" s="9"/>
      <c r="AP183" s="8"/>
      <c r="AQ183" s="10"/>
      <c r="AR183" s="10"/>
      <c r="AS183" s="8"/>
      <c r="AT183" s="8"/>
      <c r="AU183" s="8"/>
    </row>
    <row r="184" spans="20:47" x14ac:dyDescent="0.4">
      <c r="T184" s="5"/>
      <c r="U184" s="8"/>
      <c r="V184" s="8"/>
      <c r="X184" s="5"/>
      <c r="AB184" s="5"/>
      <c r="AC184" s="8"/>
      <c r="AD184" s="8"/>
      <c r="AE184" s="8"/>
      <c r="AF184" s="8"/>
      <c r="AI184" s="9"/>
      <c r="AN184" s="9"/>
      <c r="AP184" s="8"/>
      <c r="AQ184" s="10"/>
      <c r="AR184" s="10"/>
      <c r="AS184" s="8"/>
      <c r="AT184" s="8"/>
      <c r="AU184" s="8"/>
    </row>
    <row r="185" spans="20:47" x14ac:dyDescent="0.4">
      <c r="T185" s="5"/>
      <c r="U185" s="8"/>
      <c r="V185" s="8"/>
      <c r="X185" s="5"/>
      <c r="AB185" s="5"/>
      <c r="AC185" s="8"/>
      <c r="AD185" s="8"/>
      <c r="AE185" s="8"/>
      <c r="AF185" s="8"/>
      <c r="AI185" s="9"/>
      <c r="AN185" s="9"/>
      <c r="AP185" s="8"/>
      <c r="AQ185" s="10"/>
      <c r="AR185" s="10"/>
      <c r="AS185" s="8"/>
      <c r="AT185" s="8"/>
      <c r="AU185" s="8"/>
    </row>
    <row r="186" spans="20:47" x14ac:dyDescent="0.4">
      <c r="T186" s="5"/>
      <c r="U186" s="8"/>
      <c r="V186" s="8"/>
      <c r="X186" s="5"/>
      <c r="AB186" s="5"/>
      <c r="AC186" s="8"/>
      <c r="AD186" s="8"/>
      <c r="AE186" s="8"/>
      <c r="AF186" s="8"/>
      <c r="AI186" s="9"/>
      <c r="AN186" s="9"/>
      <c r="AP186" s="8"/>
      <c r="AQ186" s="10"/>
      <c r="AR186" s="10"/>
      <c r="AS186" s="8"/>
      <c r="AT186" s="8"/>
      <c r="AU186" s="8"/>
    </row>
    <row r="187" spans="20:47" x14ac:dyDescent="0.4">
      <c r="T187" s="5"/>
      <c r="U187" s="8"/>
      <c r="V187" s="8"/>
      <c r="X187" s="5"/>
      <c r="AB187" s="5"/>
      <c r="AC187" s="8"/>
      <c r="AD187" s="8"/>
      <c r="AE187" s="8"/>
      <c r="AF187" s="8"/>
      <c r="AI187" s="9"/>
      <c r="AN187" s="9"/>
      <c r="AP187" s="8"/>
      <c r="AQ187" s="10"/>
      <c r="AR187" s="10"/>
      <c r="AS187" s="8"/>
      <c r="AT187" s="8"/>
      <c r="AU187" s="8"/>
    </row>
    <row r="188" spans="20:47" x14ac:dyDescent="0.4">
      <c r="T188" s="5"/>
      <c r="U188" s="8"/>
      <c r="V188" s="8"/>
      <c r="X188" s="5"/>
      <c r="AB188" s="5"/>
      <c r="AC188" s="8"/>
      <c r="AD188" s="8"/>
      <c r="AE188" s="8"/>
      <c r="AF188" s="8"/>
      <c r="AI188" s="9"/>
      <c r="AN188" s="9"/>
      <c r="AP188" s="8"/>
      <c r="AQ188" s="10"/>
      <c r="AR188" s="10"/>
      <c r="AS188" s="8"/>
      <c r="AT188" s="8"/>
      <c r="AU188" s="8"/>
    </row>
    <row r="189" spans="20:47" x14ac:dyDescent="0.4">
      <c r="T189" s="5"/>
      <c r="U189" s="8"/>
      <c r="V189" s="8"/>
      <c r="X189" s="5"/>
      <c r="AB189" s="5"/>
      <c r="AC189" s="8"/>
      <c r="AD189" s="8"/>
      <c r="AE189" s="8"/>
      <c r="AF189" s="8"/>
      <c r="AI189" s="9"/>
      <c r="AN189" s="9"/>
      <c r="AP189" s="8"/>
      <c r="AQ189" s="10"/>
      <c r="AR189" s="10"/>
      <c r="AS189" s="8"/>
      <c r="AT189" s="8"/>
      <c r="AU189" s="8"/>
    </row>
    <row r="190" spans="20:47" x14ac:dyDescent="0.4">
      <c r="T190" s="5"/>
      <c r="U190" s="8"/>
      <c r="V190" s="8"/>
      <c r="X190" s="5"/>
      <c r="AB190" s="5"/>
      <c r="AC190" s="8"/>
      <c r="AD190" s="8"/>
      <c r="AE190" s="8"/>
      <c r="AF190" s="8"/>
      <c r="AI190" s="9"/>
      <c r="AN190" s="9"/>
      <c r="AP190" s="8"/>
      <c r="AQ190" s="10"/>
      <c r="AR190" s="10"/>
      <c r="AS190" s="8"/>
      <c r="AT190" s="8"/>
      <c r="AU190" s="8"/>
    </row>
    <row r="191" spans="20:47" x14ac:dyDescent="0.4">
      <c r="T191" s="5"/>
      <c r="U191" s="8"/>
      <c r="V191" s="8"/>
      <c r="X191" s="5"/>
      <c r="AB191" s="5"/>
      <c r="AC191" s="8"/>
      <c r="AD191" s="8"/>
      <c r="AE191" s="8"/>
      <c r="AF191" s="8"/>
      <c r="AI191" s="9"/>
      <c r="AN191" s="9"/>
      <c r="AP191" s="8"/>
      <c r="AQ191" s="10"/>
      <c r="AR191" s="10"/>
      <c r="AS191" s="8"/>
      <c r="AT191" s="8"/>
      <c r="AU191" s="8"/>
    </row>
    <row r="192" spans="20:47" x14ac:dyDescent="0.4">
      <c r="T192" s="5"/>
      <c r="U192" s="8"/>
      <c r="V192" s="8"/>
      <c r="X192" s="5"/>
      <c r="AB192" s="5"/>
      <c r="AC192" s="8"/>
      <c r="AD192" s="8"/>
      <c r="AE192" s="8"/>
      <c r="AF192" s="8"/>
      <c r="AI192" s="9"/>
      <c r="AN192" s="9"/>
      <c r="AP192" s="8"/>
      <c r="AQ192" s="10"/>
      <c r="AR192" s="10"/>
      <c r="AS192" s="8"/>
      <c r="AT192" s="8"/>
      <c r="AU192" s="8"/>
    </row>
    <row r="193" spans="20:47" x14ac:dyDescent="0.4">
      <c r="T193" s="5"/>
      <c r="U193" s="8"/>
      <c r="V193" s="8"/>
      <c r="X193" s="5"/>
      <c r="AB193" s="5"/>
      <c r="AC193" s="8"/>
      <c r="AD193" s="8"/>
      <c r="AE193" s="8"/>
      <c r="AF193" s="8"/>
      <c r="AI193" s="9"/>
      <c r="AN193" s="9"/>
      <c r="AP193" s="8"/>
      <c r="AQ193" s="10"/>
      <c r="AR193" s="10"/>
      <c r="AS193" s="8"/>
      <c r="AT193" s="8"/>
      <c r="AU193" s="8"/>
    </row>
    <row r="194" spans="20:47" x14ac:dyDescent="0.4">
      <c r="T194" s="5"/>
      <c r="U194" s="8"/>
      <c r="V194" s="8"/>
      <c r="X194" s="5"/>
      <c r="AB194" s="5"/>
      <c r="AC194" s="8"/>
      <c r="AD194" s="8"/>
      <c r="AE194" s="8"/>
      <c r="AF194" s="8"/>
      <c r="AI194" s="9"/>
      <c r="AN194" s="9"/>
      <c r="AP194" s="8"/>
      <c r="AQ194" s="10"/>
      <c r="AR194" s="10"/>
      <c r="AS194" s="8"/>
      <c r="AT194" s="8"/>
      <c r="AU194" s="8"/>
    </row>
    <row r="195" spans="20:47" x14ac:dyDescent="0.4">
      <c r="T195" s="5"/>
      <c r="U195" s="8"/>
      <c r="V195" s="8"/>
      <c r="X195" s="5"/>
      <c r="AB195" s="5"/>
      <c r="AC195" s="8"/>
      <c r="AD195" s="8"/>
      <c r="AE195" s="8"/>
      <c r="AF195" s="8"/>
      <c r="AI195" s="9"/>
      <c r="AN195" s="9"/>
      <c r="AP195" s="8"/>
      <c r="AQ195" s="10"/>
      <c r="AR195" s="10"/>
      <c r="AS195" s="8"/>
      <c r="AT195" s="8"/>
      <c r="AU195" s="8"/>
    </row>
    <row r="196" spans="20:47" x14ac:dyDescent="0.4">
      <c r="T196" s="5"/>
      <c r="U196" s="8"/>
      <c r="V196" s="8"/>
      <c r="X196" s="5"/>
      <c r="AB196" s="5"/>
      <c r="AC196" s="8"/>
      <c r="AD196" s="8"/>
      <c r="AE196" s="8"/>
      <c r="AF196" s="8"/>
      <c r="AI196" s="9"/>
      <c r="AN196" s="9"/>
      <c r="AP196" s="8"/>
      <c r="AQ196" s="10"/>
      <c r="AR196" s="10"/>
      <c r="AS196" s="8"/>
      <c r="AT196" s="8"/>
      <c r="AU196" s="8"/>
    </row>
    <row r="197" spans="20:47" x14ac:dyDescent="0.4">
      <c r="T197" s="5"/>
      <c r="U197" s="8"/>
      <c r="V197" s="8"/>
      <c r="X197" s="5"/>
      <c r="AB197" s="5"/>
      <c r="AC197" s="8"/>
      <c r="AD197" s="8"/>
      <c r="AE197" s="8"/>
      <c r="AF197" s="8"/>
      <c r="AI197" s="9"/>
      <c r="AN197" s="9"/>
      <c r="AP197" s="8"/>
      <c r="AQ197" s="10"/>
      <c r="AR197" s="10"/>
      <c r="AS197" s="8"/>
      <c r="AT197" s="8"/>
      <c r="AU197" s="8"/>
    </row>
    <row r="198" spans="20:47" x14ac:dyDescent="0.4">
      <c r="T198" s="5"/>
      <c r="U198" s="8"/>
      <c r="V198" s="8"/>
      <c r="X198" s="5"/>
      <c r="AB198" s="5"/>
      <c r="AC198" s="8"/>
      <c r="AD198" s="8"/>
      <c r="AE198" s="8"/>
      <c r="AF198" s="8"/>
      <c r="AI198" s="9"/>
      <c r="AN198" s="9"/>
      <c r="AP198" s="8"/>
      <c r="AQ198" s="10"/>
      <c r="AR198" s="10"/>
      <c r="AS198" s="8"/>
      <c r="AT198" s="8"/>
      <c r="AU198" s="8"/>
    </row>
    <row r="199" spans="20:47" x14ac:dyDescent="0.4">
      <c r="T199" s="5"/>
      <c r="U199" s="8"/>
      <c r="V199" s="8"/>
      <c r="X199" s="5"/>
      <c r="AB199" s="5"/>
      <c r="AC199" s="8"/>
      <c r="AD199" s="8"/>
      <c r="AE199" s="8"/>
      <c r="AF199" s="8"/>
      <c r="AI199" s="9"/>
      <c r="AN199" s="9"/>
      <c r="AP199" s="8"/>
      <c r="AQ199" s="10"/>
      <c r="AR199" s="10"/>
      <c r="AS199" s="8"/>
      <c r="AT199" s="8"/>
      <c r="AU199" s="8"/>
    </row>
    <row r="200" spans="20:47" x14ac:dyDescent="0.4">
      <c r="T200" s="5"/>
      <c r="U200" s="8"/>
      <c r="V200" s="8"/>
      <c r="X200" s="5"/>
      <c r="AB200" s="5"/>
      <c r="AC200" s="8"/>
      <c r="AD200" s="8"/>
      <c r="AE200" s="8"/>
      <c r="AF200" s="8"/>
      <c r="AI200" s="9"/>
      <c r="AN200" s="9"/>
      <c r="AP200" s="8"/>
      <c r="AQ200" s="10"/>
      <c r="AR200" s="10"/>
      <c r="AS200" s="8"/>
      <c r="AT200" s="8"/>
      <c r="AU200" s="8"/>
    </row>
    <row r="201" spans="20:47" x14ac:dyDescent="0.4">
      <c r="T201" s="5"/>
      <c r="U201" s="8"/>
      <c r="V201" s="8"/>
      <c r="X201" s="5"/>
      <c r="AB201" s="5"/>
      <c r="AC201" s="8"/>
      <c r="AD201" s="8"/>
      <c r="AE201" s="8"/>
      <c r="AF201" s="8"/>
      <c r="AI201" s="9"/>
      <c r="AN201" s="9"/>
      <c r="AP201" s="8"/>
      <c r="AQ201" s="10"/>
      <c r="AR201" s="10"/>
      <c r="AS201" s="8"/>
      <c r="AT201" s="8"/>
      <c r="AU201" s="8"/>
    </row>
    <row r="202" spans="20:47" x14ac:dyDescent="0.4">
      <c r="T202" s="5"/>
      <c r="U202" s="8"/>
      <c r="V202" s="8"/>
      <c r="X202" s="5"/>
      <c r="AB202" s="5"/>
      <c r="AC202" s="8"/>
      <c r="AD202" s="8"/>
      <c r="AE202" s="8"/>
      <c r="AF202" s="8"/>
      <c r="AI202" s="9"/>
      <c r="AN202" s="9"/>
      <c r="AP202" s="8"/>
      <c r="AQ202" s="10"/>
      <c r="AR202" s="10"/>
      <c r="AS202" s="8"/>
      <c r="AT202" s="8"/>
      <c r="AU202" s="8"/>
    </row>
    <row r="203" spans="20:47" x14ac:dyDescent="0.4">
      <c r="T203" s="5"/>
      <c r="U203" s="8"/>
      <c r="V203" s="8"/>
      <c r="X203" s="5"/>
      <c r="AB203" s="5"/>
      <c r="AC203" s="8"/>
      <c r="AD203" s="8"/>
      <c r="AE203" s="8"/>
      <c r="AF203" s="8"/>
      <c r="AI203" s="9"/>
      <c r="AN203" s="9"/>
      <c r="AP203" s="8"/>
      <c r="AQ203" s="10"/>
      <c r="AR203" s="10"/>
      <c r="AS203" s="8"/>
      <c r="AT203" s="8"/>
      <c r="AU203" s="8"/>
    </row>
    <row r="204" spans="20:47" x14ac:dyDescent="0.4">
      <c r="T204" s="5"/>
      <c r="U204" s="8"/>
      <c r="V204" s="8"/>
      <c r="X204" s="5"/>
      <c r="AB204" s="5"/>
      <c r="AC204" s="8"/>
      <c r="AD204" s="8"/>
      <c r="AE204" s="8"/>
      <c r="AF204" s="8"/>
      <c r="AI204" s="9"/>
      <c r="AN204" s="9"/>
      <c r="AP204" s="8"/>
      <c r="AQ204" s="10"/>
      <c r="AR204" s="10"/>
      <c r="AS204" s="8"/>
      <c r="AT204" s="8"/>
      <c r="AU204" s="8"/>
    </row>
    <row r="205" spans="20:47" x14ac:dyDescent="0.4">
      <c r="T205" s="5"/>
      <c r="U205" s="8"/>
      <c r="V205" s="8"/>
      <c r="X205" s="5"/>
      <c r="AB205" s="5"/>
      <c r="AC205" s="8"/>
      <c r="AD205" s="8"/>
      <c r="AE205" s="8"/>
      <c r="AF205" s="8"/>
      <c r="AI205" s="9"/>
      <c r="AN205" s="9"/>
      <c r="AP205" s="8"/>
      <c r="AQ205" s="10"/>
      <c r="AR205" s="10"/>
      <c r="AS205" s="8"/>
      <c r="AT205" s="8"/>
      <c r="AU205" s="8"/>
    </row>
    <row r="206" spans="20:47" x14ac:dyDescent="0.4">
      <c r="T206" s="5"/>
      <c r="U206" s="8"/>
      <c r="V206" s="8"/>
      <c r="X206" s="5"/>
      <c r="AB206" s="5"/>
      <c r="AC206" s="8"/>
      <c r="AD206" s="8"/>
      <c r="AE206" s="8"/>
      <c r="AF206" s="8"/>
      <c r="AI206" s="9"/>
      <c r="AN206" s="9"/>
      <c r="AP206" s="8"/>
      <c r="AQ206" s="10"/>
      <c r="AR206" s="10"/>
      <c r="AS206" s="8"/>
      <c r="AT206" s="8"/>
      <c r="AU206" s="8"/>
    </row>
    <row r="207" spans="20:47" x14ac:dyDescent="0.4">
      <c r="T207" s="5"/>
      <c r="U207" s="8"/>
      <c r="V207" s="8"/>
      <c r="X207" s="5"/>
      <c r="AB207" s="5"/>
      <c r="AC207" s="8"/>
      <c r="AD207" s="8"/>
      <c r="AE207" s="8"/>
      <c r="AF207" s="8"/>
      <c r="AI207" s="9"/>
      <c r="AN207" s="9"/>
      <c r="AP207" s="8"/>
      <c r="AQ207" s="10"/>
      <c r="AR207" s="10"/>
      <c r="AS207" s="8"/>
      <c r="AT207" s="8"/>
      <c r="AU207" s="8"/>
    </row>
    <row r="208" spans="20:47" x14ac:dyDescent="0.4">
      <c r="T208" s="5"/>
      <c r="U208" s="8"/>
      <c r="V208" s="8"/>
      <c r="X208" s="5"/>
      <c r="AB208" s="5"/>
      <c r="AC208" s="8"/>
      <c r="AD208" s="8"/>
      <c r="AE208" s="8"/>
      <c r="AF208" s="8"/>
      <c r="AI208" s="9"/>
      <c r="AN208" s="9"/>
      <c r="AP208" s="8"/>
      <c r="AQ208" s="10"/>
      <c r="AR208" s="10"/>
      <c r="AS208" s="8"/>
      <c r="AT208" s="8"/>
      <c r="AU208" s="8"/>
    </row>
    <row r="209" spans="20:47" x14ac:dyDescent="0.4">
      <c r="T209" s="5"/>
      <c r="U209" s="8"/>
      <c r="V209" s="8"/>
      <c r="X209" s="5"/>
      <c r="AB209" s="5"/>
      <c r="AC209" s="8"/>
      <c r="AD209" s="8"/>
      <c r="AE209" s="8"/>
      <c r="AF209" s="8"/>
      <c r="AI209" s="9"/>
      <c r="AN209" s="9"/>
      <c r="AP209" s="8"/>
      <c r="AQ209" s="10"/>
      <c r="AR209" s="10"/>
      <c r="AS209" s="8"/>
      <c r="AT209" s="8"/>
      <c r="AU209" s="8"/>
    </row>
    <row r="210" spans="20:47" x14ac:dyDescent="0.4">
      <c r="T210" s="5"/>
      <c r="U210" s="8"/>
      <c r="V210" s="8"/>
      <c r="X210" s="5"/>
      <c r="AB210" s="5"/>
      <c r="AC210" s="8"/>
      <c r="AD210" s="8"/>
      <c r="AE210" s="8"/>
      <c r="AF210" s="8"/>
      <c r="AI210" s="9"/>
      <c r="AN210" s="9"/>
      <c r="AP210" s="8"/>
      <c r="AQ210" s="10"/>
      <c r="AR210" s="10"/>
      <c r="AS210" s="8"/>
      <c r="AT210" s="8"/>
      <c r="AU210" s="8"/>
    </row>
    <row r="211" spans="20:47" x14ac:dyDescent="0.4">
      <c r="T211" s="5"/>
      <c r="U211" s="8"/>
      <c r="V211" s="8"/>
      <c r="X211" s="5"/>
      <c r="AB211" s="5"/>
      <c r="AC211" s="8"/>
      <c r="AD211" s="8"/>
      <c r="AE211" s="8"/>
      <c r="AF211" s="8"/>
      <c r="AI211" s="9"/>
      <c r="AN211" s="9"/>
      <c r="AP211" s="8"/>
      <c r="AQ211" s="10"/>
      <c r="AR211" s="10"/>
      <c r="AS211" s="8"/>
      <c r="AT211" s="8"/>
      <c r="AU211" s="8"/>
    </row>
    <row r="212" spans="20:47" x14ac:dyDescent="0.4">
      <c r="T212" s="5"/>
      <c r="U212" s="8"/>
      <c r="V212" s="8"/>
      <c r="X212" s="5"/>
      <c r="AB212" s="5"/>
      <c r="AC212" s="8"/>
      <c r="AD212" s="8"/>
      <c r="AE212" s="8"/>
      <c r="AF212" s="8"/>
      <c r="AI212" s="9"/>
      <c r="AN212" s="9"/>
      <c r="AP212" s="8"/>
      <c r="AQ212" s="10"/>
      <c r="AR212" s="10"/>
      <c r="AS212" s="8"/>
      <c r="AT212" s="8"/>
      <c r="AU212" s="8"/>
    </row>
    <row r="213" spans="20:47" x14ac:dyDescent="0.4">
      <c r="T213" s="5"/>
      <c r="U213" s="8"/>
      <c r="V213" s="8"/>
      <c r="X213" s="5"/>
      <c r="AB213" s="5"/>
      <c r="AC213" s="8"/>
      <c r="AD213" s="8"/>
      <c r="AE213" s="8"/>
      <c r="AF213" s="8"/>
      <c r="AI213" s="9"/>
      <c r="AN213" s="9"/>
      <c r="AP213" s="8"/>
      <c r="AQ213" s="10"/>
      <c r="AR213" s="10"/>
      <c r="AS213" s="8"/>
      <c r="AT213" s="8"/>
      <c r="AU213" s="8"/>
    </row>
    <row r="214" spans="20:47" x14ac:dyDescent="0.4">
      <c r="T214" s="5"/>
      <c r="U214" s="8"/>
      <c r="V214" s="8"/>
      <c r="X214" s="5"/>
      <c r="AB214" s="5"/>
      <c r="AC214" s="8"/>
      <c r="AD214" s="8"/>
      <c r="AE214" s="8"/>
      <c r="AF214" s="8"/>
      <c r="AI214" s="9"/>
      <c r="AN214" s="9"/>
      <c r="AP214" s="8"/>
      <c r="AQ214" s="10"/>
      <c r="AR214" s="10"/>
      <c r="AS214" s="8"/>
      <c r="AT214" s="8"/>
      <c r="AU214" s="8"/>
    </row>
    <row r="215" spans="20:47" x14ac:dyDescent="0.4">
      <c r="T215" s="5"/>
      <c r="U215" s="8"/>
      <c r="V215" s="8"/>
      <c r="X215" s="5"/>
      <c r="AB215" s="5"/>
      <c r="AC215" s="8"/>
      <c r="AD215" s="8"/>
      <c r="AE215" s="8"/>
      <c r="AF215" s="8"/>
      <c r="AI215" s="9"/>
      <c r="AN215" s="9"/>
      <c r="AP215" s="8"/>
      <c r="AQ215" s="10"/>
      <c r="AR215" s="10"/>
      <c r="AS215" s="8"/>
      <c r="AT215" s="8"/>
      <c r="AU215" s="8"/>
    </row>
    <row r="216" spans="20:47" x14ac:dyDescent="0.4">
      <c r="T216" s="5"/>
      <c r="U216" s="8"/>
      <c r="V216" s="8"/>
      <c r="X216" s="5"/>
      <c r="AB216" s="5"/>
      <c r="AC216" s="8"/>
      <c r="AD216" s="8"/>
      <c r="AE216" s="8"/>
      <c r="AF216" s="8"/>
      <c r="AI216" s="9"/>
      <c r="AN216" s="9"/>
      <c r="AP216" s="8"/>
      <c r="AQ216" s="10"/>
      <c r="AR216" s="10"/>
      <c r="AS216" s="8"/>
      <c r="AT216" s="8"/>
      <c r="AU216" s="8"/>
    </row>
    <row r="217" spans="20:47" x14ac:dyDescent="0.4">
      <c r="T217" s="5"/>
      <c r="U217" s="8"/>
      <c r="V217" s="8"/>
      <c r="X217" s="5"/>
      <c r="AB217" s="5"/>
      <c r="AC217" s="8"/>
      <c r="AD217" s="8"/>
      <c r="AE217" s="8"/>
      <c r="AF217" s="8"/>
      <c r="AI217" s="9"/>
      <c r="AN217" s="9"/>
      <c r="AP217" s="8"/>
      <c r="AQ217" s="10"/>
      <c r="AR217" s="10"/>
      <c r="AS217" s="8"/>
      <c r="AT217" s="8"/>
      <c r="AU217" s="8"/>
    </row>
    <row r="218" spans="20:47" x14ac:dyDescent="0.4">
      <c r="T218" s="5"/>
      <c r="U218" s="8"/>
      <c r="V218" s="8"/>
      <c r="X218" s="5"/>
      <c r="AB218" s="5"/>
      <c r="AC218" s="8"/>
      <c r="AD218" s="8"/>
      <c r="AE218" s="8"/>
      <c r="AF218" s="8"/>
      <c r="AI218" s="9"/>
      <c r="AN218" s="9"/>
      <c r="AP218" s="8"/>
      <c r="AQ218" s="10"/>
      <c r="AR218" s="10"/>
      <c r="AS218" s="8"/>
      <c r="AT218" s="8"/>
      <c r="AU218" s="8"/>
    </row>
    <row r="219" spans="20:47" x14ac:dyDescent="0.4">
      <c r="T219" s="5"/>
      <c r="U219" s="8"/>
      <c r="V219" s="8"/>
      <c r="X219" s="5"/>
      <c r="AB219" s="5"/>
      <c r="AC219" s="8"/>
      <c r="AD219" s="8"/>
      <c r="AE219" s="8"/>
      <c r="AF219" s="8"/>
      <c r="AI219" s="9"/>
      <c r="AN219" s="9"/>
      <c r="AP219" s="8"/>
      <c r="AQ219" s="10"/>
      <c r="AR219" s="10"/>
      <c r="AS219" s="8"/>
      <c r="AT219" s="8"/>
      <c r="AU219" s="8"/>
    </row>
    <row r="220" spans="20:47" x14ac:dyDescent="0.4">
      <c r="T220" s="5"/>
      <c r="U220" s="8"/>
      <c r="V220" s="8"/>
      <c r="X220" s="5"/>
      <c r="AB220" s="5"/>
      <c r="AC220" s="8"/>
      <c r="AD220" s="8"/>
      <c r="AE220" s="8"/>
      <c r="AF220" s="8"/>
      <c r="AI220" s="9"/>
      <c r="AN220" s="9"/>
      <c r="AP220" s="8"/>
      <c r="AQ220" s="10"/>
      <c r="AR220" s="10"/>
      <c r="AS220" s="8"/>
      <c r="AT220" s="8"/>
      <c r="AU220" s="8"/>
    </row>
    <row r="221" spans="20:47" x14ac:dyDescent="0.4">
      <c r="T221" s="5"/>
      <c r="U221" s="8"/>
      <c r="V221" s="8"/>
      <c r="X221" s="5"/>
      <c r="AB221" s="5"/>
      <c r="AC221" s="8"/>
      <c r="AD221" s="8"/>
      <c r="AE221" s="8"/>
      <c r="AF221" s="8"/>
      <c r="AI221" s="9"/>
      <c r="AN221" s="9"/>
      <c r="AP221" s="8"/>
      <c r="AQ221" s="10"/>
      <c r="AR221" s="10"/>
      <c r="AS221" s="8"/>
      <c r="AT221" s="8"/>
      <c r="AU221" s="8"/>
    </row>
    <row r="222" spans="20:47" x14ac:dyDescent="0.4">
      <c r="T222" s="5"/>
      <c r="U222" s="8"/>
      <c r="V222" s="8"/>
      <c r="X222" s="5"/>
      <c r="AB222" s="5"/>
      <c r="AC222" s="8"/>
      <c r="AD222" s="8"/>
      <c r="AE222" s="8"/>
      <c r="AF222" s="8"/>
      <c r="AI222" s="9"/>
      <c r="AN222" s="9"/>
      <c r="AP222" s="8"/>
      <c r="AQ222" s="10"/>
      <c r="AR222" s="10"/>
      <c r="AS222" s="8"/>
      <c r="AT222" s="8"/>
      <c r="AU222" s="8"/>
    </row>
    <row r="223" spans="20:47" x14ac:dyDescent="0.4">
      <c r="T223" s="5"/>
      <c r="U223" s="8"/>
      <c r="V223" s="8"/>
      <c r="X223" s="5"/>
      <c r="AB223" s="5"/>
      <c r="AC223" s="8"/>
      <c r="AD223" s="8"/>
      <c r="AE223" s="8"/>
      <c r="AF223" s="8"/>
      <c r="AI223" s="9"/>
      <c r="AN223" s="9"/>
      <c r="AP223" s="8"/>
      <c r="AQ223" s="10"/>
      <c r="AR223" s="10"/>
      <c r="AS223" s="8"/>
      <c r="AT223" s="8"/>
      <c r="AU223" s="8"/>
    </row>
    <row r="224" spans="20:47" x14ac:dyDescent="0.4">
      <c r="T224" s="5"/>
      <c r="U224" s="8"/>
      <c r="V224" s="8"/>
      <c r="X224" s="5"/>
      <c r="AB224" s="5"/>
      <c r="AC224" s="8"/>
      <c r="AD224" s="8"/>
      <c r="AE224" s="8"/>
      <c r="AF224" s="8"/>
      <c r="AI224" s="9"/>
      <c r="AN224" s="9"/>
      <c r="AP224" s="8"/>
      <c r="AQ224" s="10"/>
      <c r="AR224" s="10"/>
      <c r="AS224" s="8"/>
      <c r="AT224" s="8"/>
      <c r="AU224" s="8"/>
    </row>
    <row r="225" spans="20:47" x14ac:dyDescent="0.4">
      <c r="T225" s="5"/>
      <c r="U225" s="8"/>
      <c r="V225" s="8"/>
      <c r="X225" s="5"/>
      <c r="AB225" s="5"/>
      <c r="AC225" s="8"/>
      <c r="AD225" s="8"/>
      <c r="AE225" s="8"/>
      <c r="AF225" s="8"/>
      <c r="AI225" s="9"/>
      <c r="AN225" s="9"/>
      <c r="AP225" s="8"/>
      <c r="AQ225" s="10"/>
      <c r="AR225" s="10"/>
      <c r="AS225" s="8"/>
      <c r="AT225" s="8"/>
      <c r="AU225" s="8"/>
    </row>
    <row r="226" spans="20:47" x14ac:dyDescent="0.4">
      <c r="T226" s="5"/>
      <c r="U226" s="8"/>
      <c r="V226" s="8"/>
      <c r="X226" s="5"/>
      <c r="AB226" s="5"/>
      <c r="AC226" s="8"/>
      <c r="AD226" s="8"/>
      <c r="AE226" s="8"/>
      <c r="AF226" s="8"/>
      <c r="AI226" s="9"/>
      <c r="AN226" s="9"/>
      <c r="AP226" s="8"/>
      <c r="AQ226" s="10"/>
      <c r="AR226" s="10"/>
      <c r="AS226" s="8"/>
      <c r="AT226" s="8"/>
      <c r="AU226" s="8"/>
    </row>
    <row r="227" spans="20:47" x14ac:dyDescent="0.4">
      <c r="T227" s="5"/>
      <c r="U227" s="8"/>
      <c r="V227" s="8"/>
      <c r="X227" s="5"/>
      <c r="AB227" s="5"/>
      <c r="AC227" s="8"/>
      <c r="AD227" s="8"/>
      <c r="AE227" s="8"/>
      <c r="AF227" s="8"/>
      <c r="AI227" s="9"/>
      <c r="AN227" s="9"/>
      <c r="AP227" s="8"/>
      <c r="AQ227" s="10"/>
      <c r="AR227" s="10"/>
      <c r="AS227" s="8"/>
      <c r="AT227" s="8"/>
      <c r="AU227" s="8"/>
    </row>
    <row r="228" spans="20:47" x14ac:dyDescent="0.4">
      <c r="T228" s="5"/>
      <c r="U228" s="8"/>
      <c r="V228" s="8"/>
      <c r="X228" s="5"/>
      <c r="AB228" s="5"/>
      <c r="AC228" s="8"/>
      <c r="AD228" s="8"/>
      <c r="AE228" s="8"/>
      <c r="AF228" s="8"/>
      <c r="AI228" s="9"/>
      <c r="AN228" s="9"/>
      <c r="AP228" s="8"/>
      <c r="AQ228" s="10"/>
      <c r="AR228" s="10"/>
      <c r="AS228" s="8"/>
      <c r="AT228" s="8"/>
      <c r="AU228" s="8"/>
    </row>
    <row r="229" spans="20:47" x14ac:dyDescent="0.4">
      <c r="T229" s="5"/>
      <c r="U229" s="8"/>
      <c r="V229" s="8"/>
      <c r="X229" s="5"/>
      <c r="AB229" s="5"/>
      <c r="AC229" s="8"/>
      <c r="AD229" s="8"/>
      <c r="AE229" s="8"/>
      <c r="AF229" s="8"/>
      <c r="AI229" s="9"/>
      <c r="AN229" s="9"/>
      <c r="AP229" s="8"/>
      <c r="AQ229" s="10"/>
      <c r="AR229" s="10"/>
      <c r="AS229" s="8"/>
      <c r="AT229" s="8"/>
      <c r="AU229" s="8"/>
    </row>
    <row r="230" spans="20:47" x14ac:dyDescent="0.4">
      <c r="T230" s="5"/>
      <c r="U230" s="8"/>
      <c r="V230" s="8"/>
      <c r="X230" s="5"/>
      <c r="AB230" s="5"/>
      <c r="AC230" s="8"/>
      <c r="AD230" s="8"/>
      <c r="AE230" s="8"/>
      <c r="AF230" s="8"/>
      <c r="AI230" s="9"/>
      <c r="AN230" s="9"/>
      <c r="AP230" s="8"/>
      <c r="AQ230" s="10"/>
      <c r="AR230" s="10"/>
      <c r="AS230" s="8"/>
      <c r="AT230" s="8"/>
      <c r="AU230" s="8"/>
    </row>
    <row r="231" spans="20:47" x14ac:dyDescent="0.4">
      <c r="T231" s="5"/>
      <c r="U231" s="8"/>
      <c r="V231" s="8"/>
      <c r="X231" s="5"/>
      <c r="AB231" s="5"/>
      <c r="AC231" s="8"/>
      <c r="AD231" s="8"/>
      <c r="AE231" s="8"/>
      <c r="AF231" s="8"/>
      <c r="AI231" s="9"/>
      <c r="AN231" s="9"/>
      <c r="AP231" s="8"/>
      <c r="AQ231" s="10"/>
      <c r="AR231" s="10"/>
      <c r="AS231" s="8"/>
      <c r="AT231" s="8"/>
      <c r="AU231" s="8"/>
    </row>
    <row r="232" spans="20:47" x14ac:dyDescent="0.4">
      <c r="T232" s="5"/>
      <c r="U232" s="8"/>
      <c r="V232" s="8"/>
      <c r="X232" s="5"/>
      <c r="AB232" s="5"/>
      <c r="AC232" s="8"/>
      <c r="AD232" s="8"/>
      <c r="AE232" s="8"/>
      <c r="AF232" s="8"/>
      <c r="AI232" s="9"/>
      <c r="AN232" s="9"/>
      <c r="AP232" s="8"/>
      <c r="AQ232" s="10"/>
      <c r="AR232" s="10"/>
      <c r="AS232" s="8"/>
      <c r="AT232" s="8"/>
      <c r="AU232" s="8"/>
    </row>
    <row r="233" spans="20:47" x14ac:dyDescent="0.4">
      <c r="T233" s="5"/>
      <c r="U233" s="8"/>
      <c r="V233" s="8"/>
      <c r="X233" s="5"/>
      <c r="AB233" s="5"/>
      <c r="AC233" s="8"/>
      <c r="AD233" s="8"/>
      <c r="AE233" s="8"/>
      <c r="AF233" s="8"/>
      <c r="AI233" s="9"/>
      <c r="AN233" s="9"/>
      <c r="AP233" s="8"/>
      <c r="AQ233" s="10"/>
      <c r="AR233" s="10"/>
      <c r="AS233" s="8"/>
      <c r="AT233" s="8"/>
      <c r="AU233" s="8"/>
    </row>
    <row r="234" spans="20:47" x14ac:dyDescent="0.4">
      <c r="T234" s="5"/>
      <c r="U234" s="8"/>
      <c r="V234" s="8"/>
      <c r="X234" s="5"/>
      <c r="AB234" s="5"/>
      <c r="AC234" s="8"/>
      <c r="AD234" s="8"/>
      <c r="AE234" s="8"/>
      <c r="AF234" s="8"/>
      <c r="AI234" s="9"/>
      <c r="AN234" s="9"/>
      <c r="AP234" s="8"/>
      <c r="AQ234" s="10"/>
      <c r="AR234" s="10"/>
      <c r="AS234" s="8"/>
      <c r="AT234" s="8"/>
      <c r="AU234" s="8"/>
    </row>
    <row r="235" spans="20:47" x14ac:dyDescent="0.4">
      <c r="T235" s="5"/>
      <c r="U235" s="8"/>
      <c r="V235" s="8"/>
      <c r="X235" s="5"/>
      <c r="AB235" s="5"/>
      <c r="AC235" s="8"/>
      <c r="AD235" s="8"/>
      <c r="AE235" s="8"/>
      <c r="AF235" s="8"/>
      <c r="AI235" s="9"/>
      <c r="AN235" s="9"/>
      <c r="AP235" s="8"/>
      <c r="AQ235" s="10"/>
      <c r="AR235" s="10"/>
      <c r="AS235" s="8"/>
      <c r="AT235" s="8"/>
      <c r="AU235" s="8"/>
    </row>
    <row r="236" spans="20:47" x14ac:dyDescent="0.4">
      <c r="T236" s="5"/>
      <c r="U236" s="8"/>
      <c r="V236" s="8"/>
      <c r="X236" s="5"/>
      <c r="AB236" s="5"/>
      <c r="AC236" s="8"/>
      <c r="AD236" s="8"/>
      <c r="AE236" s="8"/>
      <c r="AF236" s="8"/>
      <c r="AI236" s="9"/>
      <c r="AN236" s="9"/>
      <c r="AP236" s="8"/>
      <c r="AQ236" s="10"/>
      <c r="AR236" s="10"/>
      <c r="AS236" s="8"/>
      <c r="AT236" s="8"/>
      <c r="AU236" s="8"/>
    </row>
    <row r="237" spans="20:47" x14ac:dyDescent="0.4">
      <c r="T237" s="5"/>
      <c r="U237" s="8"/>
      <c r="V237" s="8"/>
      <c r="X237" s="5"/>
      <c r="AB237" s="5"/>
      <c r="AC237" s="8"/>
      <c r="AD237" s="8"/>
      <c r="AE237" s="8"/>
      <c r="AF237" s="8"/>
      <c r="AI237" s="9"/>
      <c r="AN237" s="9"/>
      <c r="AP237" s="8"/>
      <c r="AQ237" s="10"/>
      <c r="AR237" s="10"/>
      <c r="AS237" s="8"/>
      <c r="AT237" s="8"/>
      <c r="AU237" s="8"/>
    </row>
    <row r="238" spans="20:47" x14ac:dyDescent="0.4">
      <c r="T238" s="5"/>
      <c r="U238" s="8"/>
      <c r="V238" s="8"/>
      <c r="X238" s="5"/>
      <c r="AB238" s="5"/>
      <c r="AC238" s="8"/>
      <c r="AD238" s="8"/>
      <c r="AE238" s="8"/>
      <c r="AF238" s="8"/>
      <c r="AI238" s="9"/>
      <c r="AN238" s="9"/>
      <c r="AP238" s="8"/>
      <c r="AQ238" s="10"/>
      <c r="AR238" s="10"/>
      <c r="AS238" s="8"/>
      <c r="AT238" s="8"/>
      <c r="AU238" s="8"/>
    </row>
    <row r="239" spans="20:47" x14ac:dyDescent="0.4">
      <c r="T239" s="5"/>
      <c r="U239" s="8"/>
      <c r="V239" s="8"/>
      <c r="X239" s="5"/>
      <c r="AB239" s="5"/>
      <c r="AC239" s="8"/>
      <c r="AD239" s="8"/>
      <c r="AE239" s="8"/>
      <c r="AF239" s="8"/>
      <c r="AI239" s="9"/>
      <c r="AN239" s="9"/>
      <c r="AP239" s="8"/>
      <c r="AQ239" s="10"/>
      <c r="AR239" s="10"/>
      <c r="AS239" s="8"/>
      <c r="AT239" s="8"/>
      <c r="AU239" s="8"/>
    </row>
    <row r="240" spans="20:47" x14ac:dyDescent="0.4">
      <c r="T240" s="5"/>
      <c r="U240" s="8"/>
      <c r="V240" s="8"/>
      <c r="X240" s="5"/>
      <c r="AB240" s="5"/>
      <c r="AC240" s="8"/>
      <c r="AD240" s="8"/>
      <c r="AE240" s="8"/>
      <c r="AF240" s="8"/>
      <c r="AI240" s="9"/>
      <c r="AN240" s="9"/>
      <c r="AP240" s="8"/>
      <c r="AQ240" s="10"/>
      <c r="AR240" s="10"/>
      <c r="AS240" s="8"/>
      <c r="AT240" s="8"/>
      <c r="AU240" s="8"/>
    </row>
    <row r="241" spans="20:47" x14ac:dyDescent="0.4">
      <c r="T241" s="5"/>
      <c r="U241" s="8"/>
      <c r="V241" s="8"/>
      <c r="X241" s="5"/>
      <c r="AB241" s="5"/>
      <c r="AC241" s="8"/>
      <c r="AD241" s="8"/>
      <c r="AE241" s="8"/>
      <c r="AF241" s="8"/>
      <c r="AI241" s="9"/>
      <c r="AN241" s="9"/>
      <c r="AP241" s="8"/>
      <c r="AQ241" s="10"/>
      <c r="AR241" s="10"/>
      <c r="AS241" s="8"/>
      <c r="AT241" s="8"/>
      <c r="AU241" s="8"/>
    </row>
    <row r="242" spans="20:47" x14ac:dyDescent="0.4">
      <c r="T242" s="5"/>
      <c r="U242" s="8"/>
      <c r="V242" s="8"/>
      <c r="X242" s="5"/>
      <c r="AB242" s="5"/>
      <c r="AC242" s="8"/>
      <c r="AD242" s="8"/>
      <c r="AE242" s="8"/>
      <c r="AF242" s="8"/>
      <c r="AI242" s="9"/>
      <c r="AN242" s="9"/>
      <c r="AP242" s="8"/>
      <c r="AQ242" s="10"/>
      <c r="AR242" s="10"/>
      <c r="AS242" s="8"/>
      <c r="AT242" s="8"/>
      <c r="AU242" s="8"/>
    </row>
    <row r="243" spans="20:47" x14ac:dyDescent="0.4">
      <c r="T243" s="5"/>
      <c r="U243" s="8"/>
      <c r="V243" s="8"/>
      <c r="X243" s="5"/>
      <c r="AB243" s="5"/>
      <c r="AC243" s="8"/>
      <c r="AD243" s="8"/>
      <c r="AE243" s="8"/>
      <c r="AF243" s="8"/>
      <c r="AI243" s="9"/>
      <c r="AN243" s="9"/>
      <c r="AP243" s="8"/>
      <c r="AQ243" s="10"/>
      <c r="AR243" s="10"/>
      <c r="AS243" s="8"/>
      <c r="AT243" s="8"/>
      <c r="AU243" s="8"/>
    </row>
    <row r="244" spans="20:47" x14ac:dyDescent="0.4">
      <c r="T244" s="5"/>
      <c r="U244" s="8"/>
      <c r="V244" s="8"/>
      <c r="X244" s="5"/>
      <c r="AB244" s="5"/>
      <c r="AC244" s="8"/>
      <c r="AD244" s="8"/>
      <c r="AE244" s="8"/>
      <c r="AF244" s="8"/>
      <c r="AI244" s="9"/>
      <c r="AN244" s="9"/>
      <c r="AP244" s="8"/>
      <c r="AQ244" s="10"/>
      <c r="AR244" s="10"/>
      <c r="AS244" s="8"/>
      <c r="AT244" s="8"/>
      <c r="AU244" s="8"/>
    </row>
    <row r="245" spans="20:47" x14ac:dyDescent="0.4">
      <c r="T245" s="5"/>
      <c r="U245" s="8"/>
      <c r="V245" s="8"/>
      <c r="X245" s="5"/>
      <c r="AB245" s="5"/>
      <c r="AC245" s="8"/>
      <c r="AD245" s="8"/>
      <c r="AE245" s="8"/>
      <c r="AF245" s="8"/>
      <c r="AI245" s="9"/>
      <c r="AN245" s="9"/>
      <c r="AP245" s="8"/>
      <c r="AQ245" s="10"/>
      <c r="AR245" s="10"/>
      <c r="AS245" s="8"/>
      <c r="AT245" s="8"/>
      <c r="AU245" s="8"/>
    </row>
    <row r="246" spans="20:47" x14ac:dyDescent="0.4">
      <c r="T246" s="5"/>
      <c r="U246" s="8"/>
      <c r="V246" s="8"/>
      <c r="X246" s="5"/>
      <c r="AB246" s="5"/>
      <c r="AC246" s="8"/>
      <c r="AD246" s="8"/>
      <c r="AE246" s="8"/>
      <c r="AF246" s="8"/>
      <c r="AI246" s="9"/>
      <c r="AN246" s="9"/>
      <c r="AP246" s="8"/>
      <c r="AQ246" s="10"/>
      <c r="AR246" s="10"/>
      <c r="AS246" s="8"/>
      <c r="AT246" s="8"/>
      <c r="AU246" s="8"/>
    </row>
    <row r="247" spans="20:47" x14ac:dyDescent="0.4">
      <c r="T247" s="5"/>
      <c r="U247" s="8"/>
      <c r="V247" s="8"/>
      <c r="X247" s="5"/>
      <c r="AB247" s="5"/>
      <c r="AC247" s="8"/>
      <c r="AD247" s="8"/>
      <c r="AE247" s="8"/>
      <c r="AF247" s="8"/>
      <c r="AI247" s="9"/>
      <c r="AN247" s="9"/>
      <c r="AP247" s="8"/>
      <c r="AQ247" s="10"/>
      <c r="AR247" s="10"/>
      <c r="AS247" s="8"/>
      <c r="AT247" s="8"/>
      <c r="AU247" s="8"/>
    </row>
    <row r="248" spans="20:47" x14ac:dyDescent="0.4">
      <c r="T248" s="5"/>
      <c r="U248" s="8"/>
      <c r="V248" s="8"/>
      <c r="X248" s="5"/>
      <c r="AB248" s="5"/>
      <c r="AC248" s="8"/>
      <c r="AD248" s="8"/>
      <c r="AE248" s="8"/>
      <c r="AF248" s="8"/>
      <c r="AI248" s="9"/>
      <c r="AN248" s="9"/>
      <c r="AP248" s="8"/>
      <c r="AQ248" s="10"/>
      <c r="AR248" s="10"/>
      <c r="AS248" s="8"/>
      <c r="AT248" s="8"/>
      <c r="AU248" s="8"/>
    </row>
    <row r="249" spans="20:47" x14ac:dyDescent="0.4">
      <c r="T249" s="5"/>
      <c r="U249" s="8"/>
      <c r="V249" s="8"/>
      <c r="X249" s="5"/>
      <c r="AB249" s="5"/>
      <c r="AC249" s="8"/>
      <c r="AD249" s="8"/>
      <c r="AE249" s="8"/>
      <c r="AF249" s="8"/>
      <c r="AI249" s="9"/>
      <c r="AN249" s="9"/>
      <c r="AP249" s="8"/>
      <c r="AQ249" s="10"/>
      <c r="AR249" s="10"/>
      <c r="AS249" s="8"/>
      <c r="AT249" s="8"/>
      <c r="AU249" s="8"/>
    </row>
    <row r="250" spans="20:47" x14ac:dyDescent="0.4">
      <c r="T250" s="5"/>
      <c r="U250" s="8"/>
      <c r="V250" s="8"/>
      <c r="X250" s="5"/>
      <c r="AB250" s="5"/>
      <c r="AC250" s="8"/>
      <c r="AD250" s="8"/>
      <c r="AE250" s="8"/>
      <c r="AF250" s="8"/>
      <c r="AI250" s="9"/>
      <c r="AN250" s="9"/>
      <c r="AP250" s="8"/>
      <c r="AQ250" s="10"/>
      <c r="AR250" s="10"/>
      <c r="AS250" s="8"/>
      <c r="AT250" s="8"/>
      <c r="AU250" s="8"/>
    </row>
    <row r="251" spans="20:47" x14ac:dyDescent="0.4">
      <c r="T251" s="5"/>
      <c r="U251" s="8"/>
      <c r="V251" s="8"/>
      <c r="X251" s="5"/>
      <c r="AB251" s="5"/>
      <c r="AC251" s="8"/>
      <c r="AD251" s="8"/>
      <c r="AE251" s="8"/>
      <c r="AF251" s="8"/>
      <c r="AI251" s="9"/>
      <c r="AN251" s="9"/>
      <c r="AP251" s="8"/>
      <c r="AQ251" s="10"/>
      <c r="AR251" s="10"/>
      <c r="AS251" s="8"/>
      <c r="AT251" s="8"/>
      <c r="AU251" s="8"/>
    </row>
    <row r="252" spans="20:47" x14ac:dyDescent="0.4">
      <c r="T252" s="5"/>
      <c r="U252" s="8"/>
      <c r="V252" s="8"/>
      <c r="X252" s="5"/>
      <c r="AB252" s="5"/>
      <c r="AC252" s="8"/>
      <c r="AD252" s="8"/>
      <c r="AE252" s="8"/>
      <c r="AF252" s="8"/>
      <c r="AI252" s="9"/>
      <c r="AN252" s="9"/>
      <c r="AP252" s="8"/>
      <c r="AQ252" s="10"/>
      <c r="AR252" s="10"/>
      <c r="AS252" s="8"/>
      <c r="AT252" s="8"/>
      <c r="AU252" s="8"/>
    </row>
    <row r="253" spans="20:47" x14ac:dyDescent="0.4">
      <c r="T253" s="5"/>
      <c r="U253" s="8"/>
      <c r="V253" s="8"/>
      <c r="X253" s="5"/>
      <c r="AB253" s="5"/>
      <c r="AC253" s="8"/>
      <c r="AD253" s="8"/>
      <c r="AE253" s="8"/>
      <c r="AF253" s="8"/>
      <c r="AI253" s="9"/>
      <c r="AN253" s="9"/>
      <c r="AP253" s="8"/>
      <c r="AQ253" s="10"/>
      <c r="AR253" s="10"/>
      <c r="AS253" s="8"/>
      <c r="AT253" s="8"/>
      <c r="AU253" s="8"/>
    </row>
    <row r="254" spans="20:47" x14ac:dyDescent="0.4">
      <c r="T254" s="5"/>
      <c r="U254" s="8"/>
      <c r="V254" s="8"/>
      <c r="X254" s="5"/>
      <c r="AB254" s="5"/>
      <c r="AC254" s="8"/>
      <c r="AD254" s="8"/>
      <c r="AE254" s="8"/>
      <c r="AF254" s="8"/>
      <c r="AI254" s="9"/>
      <c r="AN254" s="9"/>
      <c r="AP254" s="8"/>
      <c r="AQ254" s="10"/>
      <c r="AR254" s="10"/>
      <c r="AS254" s="8"/>
      <c r="AT254" s="8"/>
      <c r="AU254" s="8"/>
    </row>
    <row r="255" spans="20:47" x14ac:dyDescent="0.4">
      <c r="T255" s="5"/>
      <c r="U255" s="8"/>
      <c r="V255" s="8"/>
      <c r="X255" s="5"/>
      <c r="AB255" s="5"/>
      <c r="AC255" s="8"/>
      <c r="AD255" s="8"/>
      <c r="AE255" s="8"/>
      <c r="AF255" s="8"/>
      <c r="AI255" s="9"/>
      <c r="AN255" s="9"/>
      <c r="AP255" s="8"/>
      <c r="AQ255" s="10"/>
      <c r="AR255" s="10"/>
      <c r="AS255" s="8"/>
      <c r="AT255" s="8"/>
      <c r="AU255" s="8"/>
    </row>
    <row r="256" spans="20:47" x14ac:dyDescent="0.4">
      <c r="T256" s="5"/>
      <c r="U256" s="8"/>
      <c r="V256" s="8"/>
      <c r="X256" s="5"/>
      <c r="AB256" s="5"/>
      <c r="AC256" s="8"/>
      <c r="AD256" s="8"/>
      <c r="AE256" s="8"/>
      <c r="AF256" s="8"/>
      <c r="AI256" s="9"/>
      <c r="AN256" s="9"/>
      <c r="AP256" s="8"/>
      <c r="AQ256" s="10"/>
      <c r="AR256" s="10"/>
      <c r="AS256" s="8"/>
      <c r="AT256" s="8"/>
      <c r="AU256" s="8"/>
    </row>
    <row r="257" spans="20:47" x14ac:dyDescent="0.4">
      <c r="T257" s="5"/>
      <c r="U257" s="8"/>
      <c r="V257" s="8"/>
      <c r="X257" s="5"/>
      <c r="AB257" s="5"/>
      <c r="AC257" s="8"/>
      <c r="AD257" s="8"/>
      <c r="AE257" s="8"/>
      <c r="AF257" s="8"/>
      <c r="AI257" s="9"/>
      <c r="AN257" s="9"/>
      <c r="AP257" s="8"/>
      <c r="AQ257" s="10"/>
      <c r="AR257" s="10"/>
      <c r="AS257" s="8"/>
      <c r="AT257" s="8"/>
      <c r="AU257" s="8"/>
    </row>
    <row r="258" spans="20:47" x14ac:dyDescent="0.4">
      <c r="T258" s="5"/>
      <c r="U258" s="8"/>
      <c r="V258" s="8"/>
      <c r="X258" s="5"/>
      <c r="AB258" s="5"/>
      <c r="AC258" s="8"/>
      <c r="AD258" s="8"/>
      <c r="AE258" s="8"/>
      <c r="AF258" s="8"/>
      <c r="AI258" s="9"/>
      <c r="AN258" s="9"/>
      <c r="AP258" s="8"/>
      <c r="AQ258" s="10"/>
      <c r="AR258" s="10"/>
      <c r="AS258" s="8"/>
      <c r="AT258" s="8"/>
      <c r="AU258" s="8"/>
    </row>
    <row r="259" spans="20:47" x14ac:dyDescent="0.4">
      <c r="T259" s="5"/>
      <c r="U259" s="8"/>
      <c r="V259" s="8"/>
      <c r="X259" s="5"/>
      <c r="AB259" s="5"/>
      <c r="AC259" s="8"/>
      <c r="AD259" s="8"/>
      <c r="AE259" s="8"/>
      <c r="AF259" s="8"/>
      <c r="AI259" s="9"/>
      <c r="AN259" s="9"/>
      <c r="AP259" s="8"/>
      <c r="AQ259" s="10"/>
      <c r="AR259" s="10"/>
      <c r="AS259" s="8"/>
      <c r="AT259" s="8"/>
      <c r="AU259" s="8"/>
    </row>
    <row r="260" spans="20:47" x14ac:dyDescent="0.4">
      <c r="T260" s="5"/>
      <c r="U260" s="8"/>
      <c r="V260" s="8"/>
      <c r="X260" s="5"/>
      <c r="AB260" s="5"/>
      <c r="AC260" s="8"/>
      <c r="AD260" s="8"/>
      <c r="AE260" s="8"/>
      <c r="AF260" s="8"/>
      <c r="AI260" s="9"/>
      <c r="AN260" s="9"/>
      <c r="AP260" s="8"/>
      <c r="AQ260" s="10"/>
      <c r="AR260" s="10"/>
      <c r="AS260" s="8"/>
      <c r="AT260" s="8"/>
      <c r="AU260" s="8"/>
    </row>
    <row r="261" spans="20:47" x14ac:dyDescent="0.4">
      <c r="T261" s="5"/>
      <c r="U261" s="8"/>
      <c r="V261" s="8"/>
      <c r="X261" s="5"/>
      <c r="AB261" s="5"/>
      <c r="AC261" s="8"/>
      <c r="AD261" s="8"/>
      <c r="AE261" s="8"/>
      <c r="AF261" s="8"/>
      <c r="AI261" s="9"/>
      <c r="AN261" s="9"/>
      <c r="AP261" s="8"/>
      <c r="AQ261" s="10"/>
      <c r="AR261" s="10"/>
      <c r="AS261" s="8"/>
      <c r="AT261" s="8"/>
      <c r="AU261" s="8"/>
    </row>
    <row r="262" spans="20:47" x14ac:dyDescent="0.4">
      <c r="T262" s="5"/>
      <c r="U262" s="8"/>
      <c r="V262" s="8"/>
      <c r="X262" s="5"/>
      <c r="AB262" s="5"/>
      <c r="AC262" s="8"/>
      <c r="AD262" s="8"/>
      <c r="AE262" s="8"/>
      <c r="AF262" s="8"/>
      <c r="AI262" s="9"/>
      <c r="AN262" s="9"/>
      <c r="AP262" s="8"/>
      <c r="AQ262" s="10"/>
      <c r="AR262" s="10"/>
      <c r="AS262" s="8"/>
      <c r="AT262" s="8"/>
      <c r="AU262" s="8"/>
    </row>
    <row r="263" spans="20:47" x14ac:dyDescent="0.4">
      <c r="T263" s="5"/>
      <c r="U263" s="8"/>
      <c r="V263" s="8"/>
      <c r="X263" s="5"/>
      <c r="AB263" s="5"/>
      <c r="AC263" s="8"/>
      <c r="AD263" s="8"/>
      <c r="AE263" s="8"/>
      <c r="AF263" s="8"/>
      <c r="AI263" s="9"/>
      <c r="AN263" s="9"/>
      <c r="AP263" s="8"/>
      <c r="AQ263" s="10"/>
      <c r="AR263" s="10"/>
      <c r="AS263" s="8"/>
      <c r="AT263" s="8"/>
      <c r="AU263" s="8"/>
    </row>
    <row r="264" spans="20:47" x14ac:dyDescent="0.4">
      <c r="T264" s="5"/>
      <c r="U264" s="8"/>
      <c r="V264" s="8"/>
      <c r="X264" s="5"/>
      <c r="AB264" s="5"/>
      <c r="AC264" s="8"/>
      <c r="AD264" s="8"/>
      <c r="AE264" s="8"/>
      <c r="AF264" s="8"/>
      <c r="AI264" s="9"/>
      <c r="AN264" s="9"/>
      <c r="AP264" s="8"/>
      <c r="AQ264" s="10"/>
      <c r="AR264" s="10"/>
      <c r="AS264" s="8"/>
      <c r="AT264" s="8"/>
      <c r="AU264" s="8"/>
    </row>
    <row r="265" spans="20:47" x14ac:dyDescent="0.4">
      <c r="T265" s="5"/>
      <c r="U265" s="8"/>
      <c r="V265" s="8"/>
      <c r="X265" s="5"/>
      <c r="AB265" s="5"/>
      <c r="AC265" s="8"/>
      <c r="AD265" s="8"/>
      <c r="AE265" s="8"/>
      <c r="AF265" s="8"/>
      <c r="AI265" s="9"/>
      <c r="AN265" s="9"/>
      <c r="AP265" s="8"/>
      <c r="AQ265" s="10"/>
      <c r="AR265" s="10"/>
      <c r="AS265" s="8"/>
      <c r="AT265" s="8"/>
      <c r="AU265" s="8"/>
    </row>
    <row r="266" spans="20:47" x14ac:dyDescent="0.4">
      <c r="T266" s="5"/>
      <c r="U266" s="8"/>
      <c r="V266" s="8"/>
      <c r="X266" s="5"/>
      <c r="AB266" s="5"/>
      <c r="AC266" s="8"/>
      <c r="AD266" s="8"/>
      <c r="AE266" s="8"/>
      <c r="AF266" s="8"/>
      <c r="AI266" s="9"/>
      <c r="AN266" s="9"/>
      <c r="AP266" s="8"/>
      <c r="AQ266" s="10"/>
      <c r="AR266" s="10"/>
      <c r="AS266" s="8"/>
      <c r="AT266" s="8"/>
      <c r="AU266" s="8"/>
    </row>
    <row r="267" spans="20:47" x14ac:dyDescent="0.4">
      <c r="T267" s="5"/>
      <c r="U267" s="8"/>
      <c r="V267" s="8"/>
      <c r="X267" s="5"/>
      <c r="AB267" s="5"/>
      <c r="AC267" s="8"/>
      <c r="AD267" s="8"/>
      <c r="AE267" s="8"/>
      <c r="AF267" s="8"/>
      <c r="AI267" s="9"/>
      <c r="AN267" s="9"/>
      <c r="AP267" s="8"/>
      <c r="AQ267" s="10"/>
      <c r="AR267" s="10"/>
      <c r="AS267" s="8"/>
      <c r="AT267" s="8"/>
      <c r="AU267" s="8"/>
    </row>
    <row r="268" spans="20:47" x14ac:dyDescent="0.4">
      <c r="T268" s="5"/>
      <c r="U268" s="8"/>
      <c r="V268" s="8"/>
      <c r="X268" s="5"/>
      <c r="AB268" s="5"/>
      <c r="AC268" s="8"/>
      <c r="AD268" s="8"/>
      <c r="AE268" s="8"/>
      <c r="AF268" s="8"/>
      <c r="AI268" s="9"/>
      <c r="AN268" s="9"/>
      <c r="AP268" s="8"/>
      <c r="AQ268" s="10"/>
      <c r="AR268" s="10"/>
      <c r="AS268" s="8"/>
      <c r="AT268" s="8"/>
      <c r="AU268" s="8"/>
    </row>
    <row r="269" spans="20:47" x14ac:dyDescent="0.4">
      <c r="T269" s="5"/>
      <c r="U269" s="8"/>
      <c r="V269" s="8"/>
      <c r="X269" s="5"/>
      <c r="AB269" s="5"/>
      <c r="AC269" s="8"/>
      <c r="AD269" s="8"/>
      <c r="AE269" s="8"/>
      <c r="AF269" s="8"/>
      <c r="AI269" s="9"/>
      <c r="AN269" s="9"/>
      <c r="AP269" s="8"/>
      <c r="AQ269" s="10"/>
      <c r="AR269" s="10"/>
      <c r="AS269" s="8"/>
      <c r="AT269" s="8"/>
      <c r="AU269" s="8"/>
    </row>
    <row r="270" spans="20:47" x14ac:dyDescent="0.4">
      <c r="T270" s="5"/>
      <c r="U270" s="8"/>
      <c r="V270" s="8"/>
      <c r="X270" s="5"/>
      <c r="AB270" s="5"/>
      <c r="AC270" s="8"/>
      <c r="AD270" s="8"/>
      <c r="AE270" s="8"/>
      <c r="AF270" s="8"/>
      <c r="AI270" s="9"/>
      <c r="AN270" s="9"/>
      <c r="AP270" s="8"/>
      <c r="AQ270" s="10"/>
      <c r="AR270" s="10"/>
      <c r="AS270" s="8"/>
      <c r="AT270" s="8"/>
      <c r="AU270" s="8"/>
    </row>
    <row r="271" spans="20:47" x14ac:dyDescent="0.4">
      <c r="T271" s="5"/>
      <c r="U271" s="8"/>
      <c r="V271" s="8"/>
      <c r="X271" s="5"/>
      <c r="AB271" s="5"/>
      <c r="AC271" s="8"/>
      <c r="AD271" s="8"/>
      <c r="AE271" s="8"/>
      <c r="AF271" s="8"/>
      <c r="AI271" s="9"/>
      <c r="AN271" s="9"/>
      <c r="AP271" s="8"/>
      <c r="AQ271" s="10"/>
      <c r="AR271" s="10"/>
      <c r="AS271" s="8"/>
      <c r="AT271" s="8"/>
      <c r="AU271" s="8"/>
    </row>
    <row r="272" spans="20:47" x14ac:dyDescent="0.4">
      <c r="T272" s="5"/>
      <c r="U272" s="8"/>
      <c r="V272" s="8"/>
      <c r="X272" s="5"/>
      <c r="AB272" s="5"/>
      <c r="AC272" s="8"/>
      <c r="AD272" s="8"/>
      <c r="AE272" s="8"/>
      <c r="AF272" s="8"/>
      <c r="AI272" s="9"/>
      <c r="AN272" s="9"/>
      <c r="AP272" s="8"/>
      <c r="AQ272" s="10"/>
      <c r="AR272" s="10"/>
      <c r="AS272" s="8"/>
      <c r="AT272" s="8"/>
      <c r="AU272" s="8"/>
    </row>
    <row r="273" spans="20:47" x14ac:dyDescent="0.4">
      <c r="T273" s="5"/>
      <c r="U273" s="8"/>
      <c r="V273" s="8"/>
      <c r="X273" s="5"/>
      <c r="AB273" s="5"/>
      <c r="AC273" s="8"/>
      <c r="AD273" s="8"/>
      <c r="AE273" s="8"/>
      <c r="AF273" s="8"/>
      <c r="AI273" s="9"/>
      <c r="AN273" s="9"/>
      <c r="AP273" s="8"/>
      <c r="AQ273" s="10"/>
      <c r="AR273" s="10"/>
      <c r="AS273" s="8"/>
      <c r="AT273" s="8"/>
      <c r="AU273" s="8"/>
    </row>
    <row r="274" spans="20:47" x14ac:dyDescent="0.4">
      <c r="T274" s="5"/>
      <c r="U274" s="8"/>
      <c r="V274" s="8"/>
      <c r="X274" s="5"/>
      <c r="AB274" s="5"/>
      <c r="AC274" s="8"/>
      <c r="AD274" s="8"/>
      <c r="AE274" s="8"/>
      <c r="AF274" s="8"/>
      <c r="AI274" s="9"/>
      <c r="AN274" s="9"/>
      <c r="AP274" s="8"/>
      <c r="AQ274" s="10"/>
      <c r="AR274" s="10"/>
      <c r="AS274" s="8"/>
      <c r="AT274" s="8"/>
      <c r="AU274" s="8"/>
    </row>
    <row r="275" spans="20:47" x14ac:dyDescent="0.4">
      <c r="T275" s="5"/>
      <c r="U275" s="8"/>
      <c r="V275" s="8"/>
      <c r="X275" s="5"/>
      <c r="AB275" s="5"/>
      <c r="AC275" s="8"/>
      <c r="AD275" s="8"/>
      <c r="AE275" s="8"/>
      <c r="AF275" s="8"/>
      <c r="AI275" s="9"/>
      <c r="AN275" s="9"/>
      <c r="AP275" s="8"/>
      <c r="AQ275" s="10"/>
      <c r="AR275" s="10"/>
      <c r="AS275" s="8"/>
      <c r="AT275" s="8"/>
      <c r="AU275" s="8"/>
    </row>
    <row r="276" spans="20:47" x14ac:dyDescent="0.4">
      <c r="T276" s="5"/>
      <c r="U276" s="8"/>
      <c r="V276" s="8"/>
      <c r="X276" s="5"/>
      <c r="AB276" s="5"/>
      <c r="AC276" s="8"/>
      <c r="AD276" s="8"/>
      <c r="AE276" s="8"/>
      <c r="AF276" s="8"/>
      <c r="AI276" s="9"/>
      <c r="AN276" s="9"/>
      <c r="AP276" s="8"/>
      <c r="AQ276" s="10"/>
      <c r="AR276" s="10"/>
      <c r="AS276" s="8"/>
      <c r="AT276" s="8"/>
      <c r="AU276" s="8"/>
    </row>
    <row r="277" spans="20:47" x14ac:dyDescent="0.4">
      <c r="T277" s="5"/>
      <c r="U277" s="8"/>
      <c r="V277" s="8"/>
      <c r="X277" s="5"/>
      <c r="AB277" s="5"/>
      <c r="AC277" s="8"/>
      <c r="AD277" s="8"/>
      <c r="AE277" s="8"/>
      <c r="AF277" s="8"/>
      <c r="AI277" s="9"/>
      <c r="AN277" s="9"/>
      <c r="AP277" s="8"/>
      <c r="AQ277" s="10"/>
      <c r="AR277" s="10"/>
      <c r="AS277" s="8"/>
      <c r="AT277" s="8"/>
      <c r="AU277" s="8"/>
    </row>
    <row r="278" spans="20:47" x14ac:dyDescent="0.4">
      <c r="T278" s="5"/>
      <c r="U278" s="8"/>
      <c r="V278" s="8"/>
      <c r="X278" s="5"/>
      <c r="AB278" s="5"/>
      <c r="AC278" s="8"/>
      <c r="AD278" s="8"/>
      <c r="AE278" s="8"/>
      <c r="AF278" s="8"/>
      <c r="AI278" s="9"/>
      <c r="AN278" s="9"/>
      <c r="AP278" s="8"/>
      <c r="AQ278" s="10"/>
      <c r="AR278" s="10"/>
      <c r="AS278" s="8"/>
      <c r="AT278" s="8"/>
      <c r="AU278" s="8"/>
    </row>
    <row r="279" spans="20:47" x14ac:dyDescent="0.4">
      <c r="T279" s="5"/>
      <c r="U279" s="8"/>
      <c r="V279" s="8"/>
      <c r="X279" s="5"/>
      <c r="AB279" s="5"/>
      <c r="AC279" s="8"/>
      <c r="AD279" s="8"/>
      <c r="AE279" s="8"/>
      <c r="AF279" s="8"/>
      <c r="AI279" s="9"/>
      <c r="AN279" s="9"/>
      <c r="AP279" s="8"/>
      <c r="AQ279" s="10"/>
      <c r="AR279" s="10"/>
      <c r="AS279" s="8"/>
      <c r="AT279" s="8"/>
      <c r="AU279" s="8"/>
    </row>
    <row r="280" spans="20:47" x14ac:dyDescent="0.4">
      <c r="T280" s="5"/>
      <c r="U280" s="8"/>
      <c r="V280" s="8"/>
      <c r="X280" s="5"/>
      <c r="AB280" s="5"/>
      <c r="AC280" s="8"/>
      <c r="AD280" s="8"/>
      <c r="AE280" s="8"/>
      <c r="AF280" s="8"/>
      <c r="AI280" s="9"/>
      <c r="AN280" s="9"/>
      <c r="AP280" s="8"/>
      <c r="AQ280" s="10"/>
      <c r="AR280" s="10"/>
      <c r="AS280" s="8"/>
      <c r="AT280" s="8"/>
      <c r="AU280" s="8"/>
    </row>
    <row r="281" spans="20:47" x14ac:dyDescent="0.4">
      <c r="T281" s="5"/>
      <c r="U281" s="8"/>
      <c r="V281" s="8"/>
      <c r="X281" s="5"/>
      <c r="AB281" s="5"/>
      <c r="AC281" s="8"/>
      <c r="AD281" s="8"/>
      <c r="AE281" s="8"/>
      <c r="AF281" s="8"/>
      <c r="AI281" s="9"/>
      <c r="AN281" s="9"/>
      <c r="AP281" s="8"/>
      <c r="AQ281" s="10"/>
      <c r="AR281" s="10"/>
      <c r="AS281" s="8"/>
      <c r="AT281" s="8"/>
      <c r="AU281" s="8"/>
    </row>
    <row r="282" spans="20:47" x14ac:dyDescent="0.4">
      <c r="T282" s="5"/>
      <c r="U282" s="8"/>
      <c r="V282" s="8"/>
      <c r="X282" s="5"/>
      <c r="AB282" s="5"/>
      <c r="AC282" s="8"/>
      <c r="AD282" s="8"/>
      <c r="AE282" s="8"/>
      <c r="AF282" s="8"/>
      <c r="AI282" s="9"/>
      <c r="AN282" s="9"/>
      <c r="AP282" s="8"/>
      <c r="AQ282" s="10"/>
      <c r="AR282" s="10"/>
      <c r="AS282" s="8"/>
      <c r="AT282" s="8"/>
      <c r="AU282" s="8"/>
    </row>
    <row r="283" spans="20:47" x14ac:dyDescent="0.4">
      <c r="T283" s="5"/>
      <c r="U283" s="8"/>
      <c r="V283" s="8"/>
      <c r="X283" s="5"/>
      <c r="AB283" s="5"/>
      <c r="AC283" s="8"/>
      <c r="AD283" s="8"/>
      <c r="AE283" s="8"/>
      <c r="AF283" s="8"/>
      <c r="AI283" s="9"/>
      <c r="AN283" s="9"/>
      <c r="AP283" s="8"/>
      <c r="AQ283" s="10"/>
      <c r="AR283" s="10"/>
      <c r="AS283" s="8"/>
      <c r="AT283" s="8"/>
      <c r="AU283" s="8"/>
    </row>
    <row r="284" spans="20:47" x14ac:dyDescent="0.4">
      <c r="T284" s="5"/>
      <c r="U284" s="8"/>
      <c r="V284" s="8"/>
      <c r="X284" s="5"/>
      <c r="AB284" s="5"/>
      <c r="AC284" s="8"/>
      <c r="AD284" s="8"/>
      <c r="AE284" s="8"/>
      <c r="AF284" s="8"/>
      <c r="AI284" s="9"/>
      <c r="AN284" s="9"/>
      <c r="AP284" s="8"/>
      <c r="AQ284" s="10"/>
      <c r="AR284" s="10"/>
      <c r="AS284" s="8"/>
      <c r="AT284" s="8"/>
      <c r="AU284" s="8"/>
    </row>
    <row r="285" spans="20:47" x14ac:dyDescent="0.4">
      <c r="T285" s="5"/>
      <c r="U285" s="8"/>
      <c r="V285" s="8"/>
      <c r="X285" s="5"/>
      <c r="AB285" s="5"/>
      <c r="AC285" s="8"/>
      <c r="AD285" s="8"/>
      <c r="AE285" s="8"/>
      <c r="AF285" s="8"/>
      <c r="AI285" s="9"/>
      <c r="AN285" s="9"/>
      <c r="AP285" s="8"/>
      <c r="AQ285" s="10"/>
      <c r="AR285" s="10"/>
      <c r="AS285" s="8"/>
      <c r="AT285" s="8"/>
      <c r="AU285" s="8"/>
    </row>
    <row r="286" spans="20:47" x14ac:dyDescent="0.4">
      <c r="T286" s="5"/>
      <c r="U286" s="8"/>
      <c r="V286" s="8"/>
      <c r="X286" s="5"/>
      <c r="AB286" s="5"/>
      <c r="AC286" s="8"/>
      <c r="AD286" s="8"/>
      <c r="AE286" s="8"/>
      <c r="AF286" s="8"/>
      <c r="AI286" s="9"/>
      <c r="AN286" s="9"/>
      <c r="AP286" s="8"/>
      <c r="AQ286" s="10"/>
      <c r="AR286" s="10"/>
      <c r="AS286" s="8"/>
      <c r="AT286" s="8"/>
      <c r="AU286" s="8"/>
    </row>
    <row r="287" spans="20:47" x14ac:dyDescent="0.4">
      <c r="T287" s="5"/>
      <c r="U287" s="8"/>
      <c r="V287" s="8"/>
      <c r="X287" s="5"/>
      <c r="AB287" s="5"/>
      <c r="AC287" s="8"/>
      <c r="AD287" s="8"/>
      <c r="AE287" s="8"/>
      <c r="AF287" s="8"/>
      <c r="AI287" s="9"/>
      <c r="AN287" s="9"/>
      <c r="AP287" s="8"/>
      <c r="AQ287" s="10"/>
      <c r="AR287" s="10"/>
      <c r="AS287" s="8"/>
      <c r="AT287" s="8"/>
      <c r="AU287" s="8"/>
    </row>
    <row r="288" spans="20:47" x14ac:dyDescent="0.4">
      <c r="T288" s="5"/>
      <c r="U288" s="8"/>
      <c r="V288" s="8"/>
      <c r="X288" s="5"/>
      <c r="AB288" s="5"/>
      <c r="AC288" s="8"/>
      <c r="AD288" s="8"/>
      <c r="AE288" s="8"/>
      <c r="AF288" s="8"/>
      <c r="AI288" s="9"/>
      <c r="AN288" s="9"/>
      <c r="AP288" s="8"/>
      <c r="AQ288" s="10"/>
      <c r="AR288" s="10"/>
      <c r="AS288" s="8"/>
      <c r="AT288" s="8"/>
      <c r="AU288" s="8"/>
    </row>
    <row r="289" spans="20:47" x14ac:dyDescent="0.4">
      <c r="T289" s="5"/>
      <c r="U289" s="8"/>
      <c r="V289" s="8"/>
      <c r="X289" s="5"/>
      <c r="AB289" s="5"/>
      <c r="AC289" s="8"/>
      <c r="AD289" s="8"/>
      <c r="AE289" s="8"/>
      <c r="AF289" s="8"/>
      <c r="AI289" s="9"/>
      <c r="AN289" s="9"/>
      <c r="AP289" s="8"/>
      <c r="AQ289" s="10"/>
      <c r="AR289" s="10"/>
      <c r="AS289" s="8"/>
      <c r="AT289" s="8"/>
      <c r="AU289" s="8"/>
    </row>
    <row r="290" spans="20:47" x14ac:dyDescent="0.4">
      <c r="T290" s="5"/>
      <c r="U290" s="8"/>
      <c r="V290" s="8"/>
      <c r="X290" s="5"/>
      <c r="AB290" s="5"/>
      <c r="AC290" s="8"/>
      <c r="AD290" s="8"/>
      <c r="AE290" s="8"/>
      <c r="AF290" s="8"/>
      <c r="AI290" s="9"/>
      <c r="AN290" s="9"/>
      <c r="AP290" s="8"/>
      <c r="AQ290" s="10"/>
      <c r="AR290" s="10"/>
      <c r="AS290" s="8"/>
      <c r="AT290" s="8"/>
      <c r="AU290" s="8"/>
    </row>
    <row r="291" spans="20:47" x14ac:dyDescent="0.4">
      <c r="T291" s="5"/>
      <c r="U291" s="8"/>
      <c r="V291" s="8"/>
      <c r="X291" s="5"/>
      <c r="AB291" s="5"/>
      <c r="AC291" s="8"/>
      <c r="AD291" s="8"/>
      <c r="AE291" s="8"/>
      <c r="AF291" s="8"/>
      <c r="AI291" s="9"/>
      <c r="AN291" s="9"/>
      <c r="AP291" s="8"/>
      <c r="AQ291" s="10"/>
      <c r="AR291" s="10"/>
      <c r="AS291" s="8"/>
      <c r="AT291" s="8"/>
      <c r="AU291" s="8"/>
    </row>
    <row r="292" spans="20:47" x14ac:dyDescent="0.4">
      <c r="T292" s="5"/>
      <c r="U292" s="8"/>
      <c r="V292" s="8"/>
      <c r="X292" s="5"/>
      <c r="AB292" s="5"/>
      <c r="AC292" s="8"/>
      <c r="AD292" s="8"/>
      <c r="AE292" s="8"/>
      <c r="AF292" s="8"/>
      <c r="AI292" s="9"/>
      <c r="AN292" s="9"/>
      <c r="AP292" s="8"/>
      <c r="AQ292" s="10"/>
      <c r="AR292" s="10"/>
      <c r="AS292" s="8"/>
      <c r="AT292" s="8"/>
      <c r="AU292" s="8"/>
    </row>
    <row r="293" spans="20:47" x14ac:dyDescent="0.4">
      <c r="T293" s="5"/>
      <c r="U293" s="8"/>
      <c r="V293" s="8"/>
      <c r="X293" s="5"/>
      <c r="AB293" s="5"/>
      <c r="AC293" s="8"/>
      <c r="AD293" s="8"/>
      <c r="AE293" s="8"/>
      <c r="AF293" s="8"/>
      <c r="AI293" s="9"/>
      <c r="AN293" s="9"/>
      <c r="AP293" s="8"/>
      <c r="AQ293" s="10"/>
      <c r="AR293" s="10"/>
      <c r="AS293" s="8"/>
      <c r="AT293" s="8"/>
      <c r="AU293" s="8"/>
    </row>
    <row r="294" spans="20:47" x14ac:dyDescent="0.4">
      <c r="T294" s="5"/>
      <c r="U294" s="8"/>
      <c r="V294" s="8"/>
      <c r="X294" s="5"/>
      <c r="AB294" s="5"/>
      <c r="AC294" s="8"/>
      <c r="AD294" s="8"/>
      <c r="AE294" s="8"/>
      <c r="AF294" s="8"/>
      <c r="AI294" s="9"/>
      <c r="AN294" s="9"/>
      <c r="AP294" s="8"/>
      <c r="AQ294" s="10"/>
      <c r="AR294" s="10"/>
      <c r="AS294" s="8"/>
      <c r="AT294" s="8"/>
      <c r="AU294" s="8"/>
    </row>
    <row r="295" spans="20:47" x14ac:dyDescent="0.4">
      <c r="T295" s="5"/>
      <c r="U295" s="8"/>
      <c r="V295" s="8"/>
      <c r="X295" s="5"/>
      <c r="AB295" s="5"/>
      <c r="AC295" s="8"/>
      <c r="AD295" s="8"/>
      <c r="AE295" s="8"/>
      <c r="AF295" s="8"/>
      <c r="AI295" s="9"/>
      <c r="AN295" s="9"/>
      <c r="AP295" s="8"/>
      <c r="AQ295" s="10"/>
      <c r="AR295" s="10"/>
      <c r="AS295" s="8"/>
      <c r="AT295" s="8"/>
      <c r="AU295" s="8"/>
    </row>
    <row r="296" spans="20:47" x14ac:dyDescent="0.4">
      <c r="T296" s="5"/>
      <c r="U296" s="8"/>
      <c r="V296" s="8"/>
      <c r="X296" s="5"/>
      <c r="AB296" s="5"/>
      <c r="AC296" s="8"/>
      <c r="AD296" s="8"/>
      <c r="AE296" s="8"/>
      <c r="AF296" s="8"/>
      <c r="AI296" s="9"/>
      <c r="AN296" s="9"/>
      <c r="AP296" s="8"/>
      <c r="AQ296" s="10"/>
      <c r="AR296" s="10"/>
      <c r="AS296" s="8"/>
      <c r="AT296" s="8"/>
      <c r="AU296" s="8"/>
    </row>
    <row r="297" spans="20:47" x14ac:dyDescent="0.4">
      <c r="T297" s="5"/>
      <c r="U297" s="8"/>
      <c r="V297" s="8"/>
      <c r="X297" s="5"/>
      <c r="AB297" s="5"/>
      <c r="AC297" s="8"/>
      <c r="AD297" s="8"/>
      <c r="AE297" s="8"/>
      <c r="AF297" s="8"/>
      <c r="AI297" s="9"/>
      <c r="AN297" s="9"/>
      <c r="AP297" s="8"/>
      <c r="AQ297" s="10"/>
      <c r="AR297" s="10"/>
      <c r="AS297" s="8"/>
      <c r="AT297" s="8"/>
      <c r="AU297" s="8"/>
    </row>
    <row r="298" spans="20:47" x14ac:dyDescent="0.4">
      <c r="T298" s="5"/>
      <c r="U298" s="8"/>
      <c r="V298" s="8"/>
      <c r="X298" s="5"/>
      <c r="AB298" s="5"/>
      <c r="AC298" s="8"/>
      <c r="AD298" s="8"/>
      <c r="AE298" s="8"/>
      <c r="AF298" s="8"/>
      <c r="AI298" s="9"/>
      <c r="AN298" s="9"/>
      <c r="AP298" s="8"/>
      <c r="AQ298" s="10"/>
      <c r="AR298" s="10"/>
      <c r="AS298" s="8"/>
      <c r="AT298" s="8"/>
      <c r="AU298" s="8"/>
    </row>
    <row r="299" spans="20:47" x14ac:dyDescent="0.4">
      <c r="T299" s="5"/>
      <c r="U299" s="8"/>
      <c r="V299" s="8"/>
      <c r="X299" s="5"/>
      <c r="AB299" s="5"/>
      <c r="AC299" s="8"/>
      <c r="AD299" s="8"/>
      <c r="AE299" s="8"/>
      <c r="AF299" s="8"/>
      <c r="AI299" s="9"/>
      <c r="AN299" s="9"/>
      <c r="AP299" s="8"/>
      <c r="AQ299" s="10"/>
      <c r="AR299" s="10"/>
      <c r="AS299" s="8"/>
      <c r="AT299" s="8"/>
      <c r="AU299" s="8"/>
    </row>
    <row r="300" spans="20:47" x14ac:dyDescent="0.4">
      <c r="T300" s="5"/>
      <c r="U300" s="8"/>
      <c r="V300" s="8"/>
      <c r="X300" s="5"/>
      <c r="AB300" s="5"/>
      <c r="AC300" s="8"/>
      <c r="AD300" s="8"/>
      <c r="AE300" s="8"/>
      <c r="AF300" s="8"/>
      <c r="AI300" s="9"/>
      <c r="AN300" s="9"/>
      <c r="AP300" s="8"/>
      <c r="AQ300" s="10"/>
      <c r="AR300" s="10"/>
      <c r="AS300" s="8"/>
      <c r="AT300" s="8"/>
      <c r="AU300" s="8"/>
    </row>
    <row r="301" spans="20:47" x14ac:dyDescent="0.4">
      <c r="T301" s="5"/>
      <c r="U301" s="8"/>
      <c r="V301" s="8"/>
      <c r="X301" s="5"/>
      <c r="AB301" s="5"/>
      <c r="AC301" s="8"/>
      <c r="AD301" s="8"/>
      <c r="AE301" s="8"/>
      <c r="AF301" s="8"/>
      <c r="AI301" s="9"/>
      <c r="AN301" s="9"/>
      <c r="AP301" s="8"/>
      <c r="AQ301" s="10"/>
      <c r="AR301" s="10"/>
      <c r="AS301" s="8"/>
      <c r="AT301" s="8"/>
      <c r="AU301" s="8"/>
    </row>
    <row r="302" spans="20:47" x14ac:dyDescent="0.4">
      <c r="T302" s="5"/>
      <c r="U302" s="8"/>
      <c r="V302" s="8"/>
      <c r="X302" s="5"/>
      <c r="AB302" s="5"/>
      <c r="AC302" s="8"/>
      <c r="AD302" s="8"/>
      <c r="AE302" s="8"/>
      <c r="AF302" s="8"/>
      <c r="AI302" s="9"/>
      <c r="AN302" s="9"/>
      <c r="AP302" s="8"/>
      <c r="AQ302" s="10"/>
      <c r="AR302" s="10"/>
      <c r="AS302" s="8"/>
      <c r="AT302" s="8"/>
      <c r="AU302" s="8"/>
    </row>
    <row r="303" spans="20:47" x14ac:dyDescent="0.4">
      <c r="T303" s="5"/>
      <c r="U303" s="8"/>
      <c r="V303" s="8"/>
      <c r="X303" s="5"/>
      <c r="AB303" s="5"/>
      <c r="AC303" s="8"/>
      <c r="AD303" s="8"/>
      <c r="AE303" s="8"/>
      <c r="AF303" s="8"/>
      <c r="AI303" s="9"/>
      <c r="AN303" s="9"/>
      <c r="AP303" s="8"/>
      <c r="AQ303" s="10"/>
      <c r="AR303" s="10"/>
      <c r="AS303" s="8"/>
      <c r="AT303" s="8"/>
      <c r="AU303" s="8"/>
    </row>
    <row r="304" spans="20:47" x14ac:dyDescent="0.4">
      <c r="T304" s="5"/>
      <c r="U304" s="8"/>
      <c r="V304" s="8"/>
      <c r="X304" s="5"/>
      <c r="AB304" s="5"/>
      <c r="AC304" s="8"/>
      <c r="AD304" s="8"/>
      <c r="AE304" s="8"/>
      <c r="AF304" s="8"/>
      <c r="AI304" s="9"/>
      <c r="AN304" s="9"/>
      <c r="AP304" s="8"/>
      <c r="AQ304" s="10"/>
      <c r="AR304" s="10"/>
      <c r="AS304" s="8"/>
      <c r="AT304" s="8"/>
      <c r="AU304" s="8"/>
    </row>
    <row r="305" spans="20:47" x14ac:dyDescent="0.4">
      <c r="T305" s="5"/>
      <c r="U305" s="8"/>
      <c r="V305" s="8"/>
      <c r="X305" s="5"/>
      <c r="AB305" s="5"/>
      <c r="AC305" s="8"/>
      <c r="AD305" s="8"/>
      <c r="AE305" s="8"/>
      <c r="AF305" s="8"/>
      <c r="AI305" s="9"/>
      <c r="AN305" s="9"/>
      <c r="AP305" s="8"/>
      <c r="AQ305" s="10"/>
      <c r="AR305" s="10"/>
      <c r="AS305" s="8"/>
      <c r="AT305" s="8"/>
      <c r="AU305" s="8"/>
    </row>
    <row r="306" spans="20:47" x14ac:dyDescent="0.4">
      <c r="T306" s="5"/>
      <c r="U306" s="8"/>
      <c r="V306" s="8"/>
      <c r="X306" s="5"/>
      <c r="AB306" s="5"/>
      <c r="AC306" s="8"/>
      <c r="AD306" s="8"/>
      <c r="AE306" s="8"/>
      <c r="AF306" s="8"/>
      <c r="AI306" s="9"/>
      <c r="AN306" s="9"/>
      <c r="AP306" s="8"/>
      <c r="AQ306" s="10"/>
      <c r="AR306" s="10"/>
      <c r="AS306" s="8"/>
      <c r="AT306" s="8"/>
      <c r="AU306" s="8"/>
    </row>
    <row r="307" spans="20:47" x14ac:dyDescent="0.4">
      <c r="T307" s="5"/>
      <c r="U307" s="8"/>
      <c r="V307" s="8"/>
      <c r="X307" s="5"/>
      <c r="AB307" s="5"/>
      <c r="AC307" s="8"/>
      <c r="AD307" s="8"/>
      <c r="AE307" s="8"/>
      <c r="AF307" s="8"/>
      <c r="AI307" s="9"/>
      <c r="AN307" s="9"/>
      <c r="AP307" s="8"/>
      <c r="AQ307" s="10"/>
      <c r="AR307" s="10"/>
      <c r="AS307" s="8"/>
      <c r="AT307" s="8"/>
      <c r="AU307" s="8"/>
    </row>
    <row r="308" spans="20:47" x14ac:dyDescent="0.4">
      <c r="T308" s="5"/>
      <c r="U308" s="8"/>
      <c r="V308" s="8"/>
      <c r="X308" s="5"/>
      <c r="AB308" s="5"/>
      <c r="AC308" s="8"/>
      <c r="AD308" s="8"/>
      <c r="AE308" s="8"/>
      <c r="AF308" s="8"/>
      <c r="AI308" s="9"/>
      <c r="AN308" s="9"/>
      <c r="AP308" s="8"/>
      <c r="AQ308" s="10"/>
      <c r="AR308" s="10"/>
      <c r="AS308" s="8"/>
      <c r="AT308" s="8"/>
      <c r="AU308" s="8"/>
    </row>
    <row r="309" spans="20:47" x14ac:dyDescent="0.4">
      <c r="T309" s="5"/>
      <c r="U309" s="8"/>
      <c r="V309" s="8"/>
      <c r="X309" s="5"/>
      <c r="AB309" s="5"/>
      <c r="AC309" s="8"/>
      <c r="AD309" s="8"/>
      <c r="AE309" s="8"/>
      <c r="AF309" s="8"/>
      <c r="AI309" s="9"/>
      <c r="AN309" s="9"/>
      <c r="AP309" s="8"/>
      <c r="AQ309" s="10"/>
      <c r="AR309" s="10"/>
      <c r="AS309" s="8"/>
      <c r="AT309" s="8"/>
      <c r="AU309" s="8"/>
    </row>
    <row r="310" spans="20:47" x14ac:dyDescent="0.4">
      <c r="T310" s="5"/>
      <c r="U310" s="8"/>
      <c r="V310" s="8"/>
      <c r="X310" s="5"/>
      <c r="AB310" s="5"/>
      <c r="AC310" s="8"/>
      <c r="AD310" s="8"/>
      <c r="AE310" s="8"/>
      <c r="AF310" s="8"/>
      <c r="AI310" s="9"/>
      <c r="AN310" s="9"/>
      <c r="AP310" s="8"/>
      <c r="AQ310" s="10"/>
      <c r="AR310" s="10"/>
      <c r="AS310" s="8"/>
      <c r="AT310" s="8"/>
      <c r="AU310" s="8"/>
    </row>
    <row r="311" spans="20:47" x14ac:dyDescent="0.4">
      <c r="T311" s="5"/>
      <c r="U311" s="8"/>
      <c r="V311" s="8"/>
      <c r="X311" s="5"/>
      <c r="AB311" s="5"/>
      <c r="AC311" s="8"/>
      <c r="AD311" s="8"/>
      <c r="AE311" s="8"/>
      <c r="AF311" s="8"/>
      <c r="AI311" s="9"/>
      <c r="AN311" s="9"/>
      <c r="AP311" s="8"/>
      <c r="AQ311" s="10"/>
      <c r="AR311" s="10"/>
      <c r="AS311" s="8"/>
      <c r="AT311" s="8"/>
      <c r="AU311" s="8"/>
    </row>
    <row r="312" spans="20:47" x14ac:dyDescent="0.4">
      <c r="T312" s="5"/>
      <c r="U312" s="8"/>
      <c r="V312" s="8"/>
      <c r="X312" s="5"/>
      <c r="AB312" s="5"/>
      <c r="AC312" s="8"/>
      <c r="AD312" s="8"/>
      <c r="AE312" s="8"/>
      <c r="AF312" s="8"/>
      <c r="AI312" s="9"/>
      <c r="AN312" s="9"/>
      <c r="AP312" s="8"/>
      <c r="AQ312" s="10"/>
      <c r="AR312" s="10"/>
      <c r="AS312" s="8"/>
      <c r="AT312" s="8"/>
      <c r="AU312" s="8"/>
    </row>
    <row r="313" spans="20:47" x14ac:dyDescent="0.4">
      <c r="T313" s="5"/>
      <c r="U313" s="8"/>
      <c r="V313" s="8"/>
      <c r="X313" s="5"/>
      <c r="AB313" s="5"/>
      <c r="AC313" s="8"/>
      <c r="AD313" s="8"/>
      <c r="AE313" s="8"/>
      <c r="AF313" s="8"/>
      <c r="AI313" s="9"/>
      <c r="AN313" s="9"/>
      <c r="AP313" s="8"/>
      <c r="AQ313" s="10"/>
      <c r="AR313" s="10"/>
      <c r="AS313" s="8"/>
      <c r="AT313" s="8"/>
      <c r="AU313" s="8"/>
    </row>
    <row r="314" spans="20:47" x14ac:dyDescent="0.4">
      <c r="T314" s="5"/>
      <c r="U314" s="8"/>
      <c r="V314" s="8"/>
      <c r="X314" s="5"/>
      <c r="AB314" s="5"/>
      <c r="AC314" s="8"/>
      <c r="AD314" s="8"/>
      <c r="AE314" s="8"/>
      <c r="AF314" s="8"/>
      <c r="AI314" s="9"/>
      <c r="AN314" s="9"/>
      <c r="AP314" s="8"/>
      <c r="AQ314" s="10"/>
      <c r="AR314" s="10"/>
      <c r="AS314" s="8"/>
      <c r="AT314" s="8"/>
      <c r="AU314" s="8"/>
    </row>
    <row r="315" spans="20:47" x14ac:dyDescent="0.4">
      <c r="T315" s="5"/>
      <c r="U315" s="8"/>
      <c r="V315" s="8"/>
      <c r="X315" s="5"/>
      <c r="AB315" s="5"/>
      <c r="AC315" s="8"/>
      <c r="AD315" s="8"/>
      <c r="AE315" s="8"/>
      <c r="AF315" s="8"/>
      <c r="AI315" s="9"/>
      <c r="AN315" s="9"/>
      <c r="AP315" s="8"/>
      <c r="AQ315" s="10"/>
      <c r="AR315" s="10"/>
      <c r="AS315" s="8"/>
      <c r="AT315" s="8"/>
      <c r="AU315" s="8"/>
    </row>
    <row r="316" spans="20:47" x14ac:dyDescent="0.4">
      <c r="T316" s="5"/>
      <c r="U316" s="8"/>
      <c r="V316" s="8"/>
      <c r="X316" s="5"/>
      <c r="AB316" s="5"/>
      <c r="AC316" s="8"/>
      <c r="AD316" s="8"/>
      <c r="AE316" s="8"/>
      <c r="AF316" s="8"/>
      <c r="AI316" s="9"/>
      <c r="AN316" s="9"/>
      <c r="AP316" s="8"/>
      <c r="AQ316" s="10"/>
      <c r="AR316" s="10"/>
      <c r="AS316" s="8"/>
      <c r="AT316" s="8"/>
      <c r="AU316" s="8"/>
    </row>
    <row r="317" spans="20:47" x14ac:dyDescent="0.4">
      <c r="T317" s="5"/>
      <c r="U317" s="8"/>
      <c r="V317" s="8"/>
      <c r="X317" s="5"/>
      <c r="AB317" s="5"/>
      <c r="AC317" s="8"/>
      <c r="AD317" s="8"/>
      <c r="AE317" s="8"/>
      <c r="AF317" s="8"/>
      <c r="AI317" s="9"/>
      <c r="AN317" s="9"/>
      <c r="AP317" s="8"/>
      <c r="AQ317" s="10"/>
      <c r="AR317" s="10"/>
      <c r="AS317" s="8"/>
      <c r="AT317" s="8"/>
      <c r="AU317" s="8"/>
    </row>
    <row r="318" spans="20:47" x14ac:dyDescent="0.4">
      <c r="T318" s="5"/>
      <c r="U318" s="8"/>
      <c r="V318" s="8"/>
      <c r="X318" s="5"/>
      <c r="AB318" s="5"/>
      <c r="AC318" s="8"/>
      <c r="AD318" s="8"/>
      <c r="AE318" s="8"/>
      <c r="AF318" s="8"/>
      <c r="AI318" s="9"/>
      <c r="AN318" s="9"/>
      <c r="AP318" s="8"/>
      <c r="AQ318" s="10"/>
      <c r="AR318" s="10"/>
      <c r="AS318" s="8"/>
      <c r="AT318" s="8"/>
      <c r="AU318" s="8"/>
    </row>
    <row r="319" spans="20:47" x14ac:dyDescent="0.4">
      <c r="T319" s="5"/>
      <c r="U319" s="8"/>
      <c r="V319" s="8"/>
      <c r="X319" s="5"/>
      <c r="AB319" s="5"/>
      <c r="AC319" s="8"/>
      <c r="AD319" s="8"/>
      <c r="AE319" s="8"/>
      <c r="AF319" s="8"/>
      <c r="AI319" s="9"/>
      <c r="AN319" s="9"/>
      <c r="AP319" s="8"/>
      <c r="AQ319" s="10"/>
      <c r="AR319" s="10"/>
      <c r="AS319" s="8"/>
      <c r="AT319" s="8"/>
      <c r="AU319" s="8"/>
    </row>
    <row r="320" spans="20:47" x14ac:dyDescent="0.4">
      <c r="T320" s="5"/>
      <c r="U320" s="8"/>
      <c r="V320" s="8"/>
      <c r="X320" s="5"/>
      <c r="AB320" s="5"/>
      <c r="AC320" s="8"/>
      <c r="AD320" s="8"/>
      <c r="AE320" s="8"/>
      <c r="AF320" s="8"/>
      <c r="AI320" s="9"/>
      <c r="AN320" s="9"/>
      <c r="AP320" s="8"/>
      <c r="AQ320" s="10"/>
      <c r="AR320" s="10"/>
      <c r="AS320" s="8"/>
      <c r="AT320" s="8"/>
      <c r="AU320" s="8"/>
    </row>
    <row r="321" spans="20:47" x14ac:dyDescent="0.4">
      <c r="T321" s="5"/>
      <c r="U321" s="8"/>
      <c r="V321" s="8"/>
      <c r="X321" s="5"/>
      <c r="AB321" s="5"/>
      <c r="AC321" s="8"/>
      <c r="AD321" s="8"/>
      <c r="AE321" s="8"/>
      <c r="AF321" s="8"/>
      <c r="AI321" s="9"/>
      <c r="AN321" s="9"/>
      <c r="AP321" s="8"/>
      <c r="AQ321" s="10"/>
      <c r="AR321" s="10"/>
      <c r="AS321" s="8"/>
      <c r="AT321" s="8"/>
      <c r="AU321" s="8"/>
    </row>
    <row r="322" spans="20:47" x14ac:dyDescent="0.4">
      <c r="T322" s="5"/>
      <c r="U322" s="8"/>
      <c r="V322" s="8"/>
      <c r="X322" s="5"/>
      <c r="AB322" s="5"/>
      <c r="AC322" s="8"/>
      <c r="AD322" s="8"/>
      <c r="AE322" s="8"/>
      <c r="AF322" s="8"/>
      <c r="AI322" s="9"/>
      <c r="AN322" s="9"/>
      <c r="AP322" s="8"/>
      <c r="AQ322" s="10"/>
      <c r="AR322" s="10"/>
      <c r="AS322" s="8"/>
      <c r="AT322" s="8"/>
      <c r="AU322" s="8"/>
    </row>
    <row r="323" spans="20:47" x14ac:dyDescent="0.4">
      <c r="T323" s="5"/>
      <c r="U323" s="8"/>
      <c r="V323" s="8"/>
      <c r="X323" s="5"/>
      <c r="AB323" s="5"/>
      <c r="AC323" s="8"/>
      <c r="AD323" s="8"/>
      <c r="AE323" s="8"/>
      <c r="AF323" s="8"/>
      <c r="AI323" s="9"/>
      <c r="AN323" s="9"/>
      <c r="AP323" s="8"/>
      <c r="AQ323" s="10"/>
      <c r="AR323" s="10"/>
      <c r="AS323" s="8"/>
      <c r="AT323" s="8"/>
      <c r="AU323" s="8"/>
    </row>
    <row r="324" spans="20:47" x14ac:dyDescent="0.4">
      <c r="T324" s="5"/>
      <c r="U324" s="8"/>
      <c r="V324" s="8"/>
      <c r="X324" s="5"/>
      <c r="AB324" s="5"/>
      <c r="AC324" s="8"/>
      <c r="AD324" s="8"/>
      <c r="AE324" s="8"/>
      <c r="AF324" s="8"/>
      <c r="AI324" s="9"/>
      <c r="AN324" s="9"/>
      <c r="AP324" s="8"/>
      <c r="AQ324" s="10"/>
      <c r="AR324" s="10"/>
      <c r="AS324" s="8"/>
      <c r="AT324" s="8"/>
      <c r="AU324" s="8"/>
    </row>
    <row r="325" spans="20:47" x14ac:dyDescent="0.4">
      <c r="T325" s="5"/>
      <c r="U325" s="8"/>
      <c r="V325" s="8"/>
      <c r="X325" s="5"/>
      <c r="AB325" s="5"/>
      <c r="AC325" s="8"/>
      <c r="AD325" s="8"/>
      <c r="AE325" s="8"/>
      <c r="AF325" s="8"/>
      <c r="AI325" s="9"/>
      <c r="AN325" s="9"/>
      <c r="AP325" s="8"/>
      <c r="AQ325" s="10"/>
      <c r="AR325" s="10"/>
      <c r="AS325" s="8"/>
      <c r="AT325" s="8"/>
      <c r="AU325" s="8"/>
    </row>
    <row r="326" spans="20:47" x14ac:dyDescent="0.4">
      <c r="T326" s="5"/>
      <c r="U326" s="8"/>
      <c r="V326" s="8"/>
      <c r="X326" s="5"/>
      <c r="AB326" s="5"/>
      <c r="AC326" s="8"/>
      <c r="AD326" s="8"/>
      <c r="AE326" s="8"/>
      <c r="AF326" s="8"/>
      <c r="AI326" s="9"/>
      <c r="AN326" s="9"/>
      <c r="AP326" s="8"/>
      <c r="AQ326" s="10"/>
      <c r="AR326" s="10"/>
      <c r="AS326" s="8"/>
      <c r="AT326" s="8"/>
      <c r="AU326" s="8"/>
    </row>
    <row r="327" spans="20:47" x14ac:dyDescent="0.4">
      <c r="T327" s="5"/>
      <c r="U327" s="8"/>
      <c r="V327" s="8"/>
      <c r="X327" s="5"/>
      <c r="AB327" s="5"/>
      <c r="AC327" s="8"/>
      <c r="AD327" s="8"/>
      <c r="AE327" s="8"/>
      <c r="AF327" s="8"/>
      <c r="AI327" s="9"/>
      <c r="AN327" s="9"/>
      <c r="AP327" s="8"/>
      <c r="AQ327" s="10"/>
      <c r="AR327" s="10"/>
      <c r="AS327" s="8"/>
      <c r="AT327" s="8"/>
      <c r="AU327" s="8"/>
    </row>
    <row r="328" spans="20:47" x14ac:dyDescent="0.4">
      <c r="T328" s="5"/>
      <c r="U328" s="8"/>
      <c r="V328" s="8"/>
      <c r="X328" s="5"/>
      <c r="AB328" s="5"/>
      <c r="AC328" s="8"/>
      <c r="AD328" s="8"/>
      <c r="AE328" s="8"/>
      <c r="AF328" s="8"/>
      <c r="AI328" s="9"/>
      <c r="AN328" s="9"/>
      <c r="AP328" s="8"/>
      <c r="AQ328" s="10"/>
      <c r="AR328" s="10"/>
      <c r="AS328" s="8"/>
      <c r="AT328" s="8"/>
      <c r="AU328" s="8"/>
    </row>
    <row r="329" spans="20:47" x14ac:dyDescent="0.4">
      <c r="T329" s="5"/>
      <c r="U329" s="8"/>
      <c r="V329" s="8"/>
      <c r="X329" s="5"/>
      <c r="AB329" s="5"/>
      <c r="AC329" s="8"/>
      <c r="AD329" s="8"/>
      <c r="AE329" s="8"/>
      <c r="AF329" s="8"/>
      <c r="AI329" s="9"/>
      <c r="AN329" s="9"/>
      <c r="AP329" s="8"/>
      <c r="AQ329" s="10"/>
      <c r="AR329" s="10"/>
      <c r="AS329" s="8"/>
      <c r="AT329" s="8"/>
      <c r="AU329" s="8"/>
    </row>
    <row r="330" spans="20:47" x14ac:dyDescent="0.4">
      <c r="T330" s="5"/>
      <c r="U330" s="8"/>
      <c r="V330" s="8"/>
      <c r="X330" s="5"/>
      <c r="AB330" s="5"/>
      <c r="AC330" s="8"/>
      <c r="AD330" s="8"/>
      <c r="AE330" s="8"/>
      <c r="AF330" s="8"/>
      <c r="AI330" s="9"/>
      <c r="AN330" s="9"/>
      <c r="AP330" s="8"/>
      <c r="AQ330" s="10"/>
      <c r="AR330" s="10"/>
      <c r="AS330" s="8"/>
      <c r="AT330" s="8"/>
      <c r="AU330" s="8"/>
    </row>
    <row r="331" spans="20:47" x14ac:dyDescent="0.4">
      <c r="T331" s="5"/>
      <c r="U331" s="8"/>
      <c r="V331" s="8"/>
      <c r="X331" s="5"/>
      <c r="AB331" s="5"/>
      <c r="AC331" s="8"/>
      <c r="AD331" s="8"/>
      <c r="AE331" s="8"/>
      <c r="AF331" s="8"/>
      <c r="AI331" s="9"/>
      <c r="AN331" s="9"/>
      <c r="AP331" s="8"/>
      <c r="AQ331" s="10"/>
      <c r="AR331" s="10"/>
      <c r="AS331" s="8"/>
      <c r="AT331" s="8"/>
      <c r="AU331" s="8"/>
    </row>
    <row r="332" spans="20:47" x14ac:dyDescent="0.4">
      <c r="T332" s="5"/>
      <c r="U332" s="8"/>
      <c r="V332" s="8"/>
      <c r="X332" s="5"/>
      <c r="AB332" s="5"/>
      <c r="AC332" s="8"/>
      <c r="AD332" s="8"/>
      <c r="AE332" s="8"/>
      <c r="AF332" s="8"/>
      <c r="AI332" s="9"/>
      <c r="AN332" s="9"/>
      <c r="AP332" s="8"/>
      <c r="AQ332" s="10"/>
      <c r="AR332" s="10"/>
      <c r="AS332" s="8"/>
      <c r="AT332" s="8"/>
      <c r="AU332" s="8"/>
    </row>
    <row r="333" spans="20:47" x14ac:dyDescent="0.4">
      <c r="T333" s="5"/>
      <c r="U333" s="8"/>
      <c r="V333" s="8"/>
      <c r="X333" s="5"/>
      <c r="AB333" s="5"/>
      <c r="AC333" s="8"/>
      <c r="AD333" s="8"/>
      <c r="AE333" s="8"/>
      <c r="AF333" s="8"/>
      <c r="AI333" s="9"/>
      <c r="AN333" s="9"/>
      <c r="AP333" s="8"/>
      <c r="AQ333" s="10"/>
      <c r="AR333" s="10"/>
      <c r="AS333" s="8"/>
      <c r="AT333" s="8"/>
      <c r="AU333" s="8"/>
    </row>
    <row r="334" spans="20:47" x14ac:dyDescent="0.4">
      <c r="T334" s="5"/>
      <c r="U334" s="8"/>
      <c r="V334" s="8"/>
      <c r="X334" s="5"/>
      <c r="AB334" s="5"/>
      <c r="AC334" s="8"/>
      <c r="AD334" s="8"/>
      <c r="AE334" s="8"/>
      <c r="AF334" s="8"/>
      <c r="AI334" s="9"/>
      <c r="AN334" s="9"/>
      <c r="AP334" s="8"/>
      <c r="AQ334" s="10"/>
      <c r="AR334" s="10"/>
      <c r="AS334" s="8"/>
      <c r="AT334" s="8"/>
      <c r="AU334" s="8"/>
    </row>
    <row r="335" spans="20:47" x14ac:dyDescent="0.4">
      <c r="T335" s="5"/>
      <c r="U335" s="8"/>
      <c r="V335" s="8"/>
      <c r="X335" s="5"/>
      <c r="AB335" s="5"/>
      <c r="AC335" s="8"/>
      <c r="AD335" s="8"/>
      <c r="AE335" s="8"/>
      <c r="AF335" s="8"/>
      <c r="AI335" s="9"/>
      <c r="AN335" s="9"/>
      <c r="AP335" s="8"/>
      <c r="AQ335" s="10"/>
      <c r="AR335" s="10"/>
      <c r="AS335" s="8"/>
      <c r="AT335" s="8"/>
      <c r="AU335" s="8"/>
    </row>
    <row r="336" spans="20:47" x14ac:dyDescent="0.4">
      <c r="T336" s="5"/>
      <c r="U336" s="8"/>
      <c r="V336" s="8"/>
      <c r="X336" s="5"/>
      <c r="AB336" s="5"/>
      <c r="AC336" s="8"/>
      <c r="AD336" s="8"/>
      <c r="AE336" s="8"/>
      <c r="AF336" s="8"/>
      <c r="AI336" s="9"/>
      <c r="AN336" s="9"/>
      <c r="AP336" s="8"/>
      <c r="AQ336" s="10"/>
      <c r="AR336" s="10"/>
      <c r="AS336" s="8"/>
      <c r="AT336" s="8"/>
      <c r="AU336" s="8"/>
    </row>
    <row r="337" spans="20:47" x14ac:dyDescent="0.4">
      <c r="T337" s="5"/>
      <c r="U337" s="8"/>
      <c r="V337" s="8"/>
      <c r="X337" s="5"/>
      <c r="AB337" s="5"/>
      <c r="AC337" s="8"/>
      <c r="AD337" s="8"/>
      <c r="AE337" s="8"/>
      <c r="AF337" s="8"/>
      <c r="AI337" s="9"/>
      <c r="AN337" s="9"/>
      <c r="AP337" s="8"/>
      <c r="AQ337" s="10"/>
      <c r="AR337" s="10"/>
      <c r="AS337" s="8"/>
      <c r="AT337" s="8"/>
      <c r="AU337" s="8"/>
    </row>
    <row r="338" spans="20:47" x14ac:dyDescent="0.4">
      <c r="T338" s="5"/>
      <c r="U338" s="8"/>
      <c r="V338" s="8"/>
      <c r="X338" s="5"/>
      <c r="AB338" s="5"/>
      <c r="AC338" s="8"/>
      <c r="AD338" s="8"/>
      <c r="AE338" s="8"/>
      <c r="AF338" s="8"/>
      <c r="AI338" s="9"/>
      <c r="AN338" s="9"/>
      <c r="AP338" s="8"/>
      <c r="AQ338" s="10"/>
      <c r="AR338" s="10"/>
      <c r="AS338" s="8"/>
      <c r="AT338" s="8"/>
      <c r="AU338" s="8"/>
    </row>
    <row r="339" spans="20:47" x14ac:dyDescent="0.4">
      <c r="T339" s="5"/>
      <c r="U339" s="8"/>
      <c r="V339" s="8"/>
      <c r="X339" s="5"/>
      <c r="AB339" s="5"/>
      <c r="AC339" s="8"/>
      <c r="AD339" s="8"/>
      <c r="AE339" s="8"/>
      <c r="AF339" s="8"/>
      <c r="AI339" s="9"/>
      <c r="AN339" s="9"/>
      <c r="AP339" s="8"/>
      <c r="AQ339" s="10"/>
      <c r="AR339" s="10"/>
      <c r="AS339" s="8"/>
      <c r="AT339" s="8"/>
      <c r="AU339" s="8"/>
    </row>
    <row r="340" spans="20:47" x14ac:dyDescent="0.4">
      <c r="T340" s="5"/>
      <c r="U340" s="8"/>
      <c r="V340" s="8"/>
      <c r="X340" s="5"/>
      <c r="AB340" s="5"/>
      <c r="AC340" s="8"/>
      <c r="AD340" s="8"/>
      <c r="AE340" s="8"/>
      <c r="AF340" s="8"/>
      <c r="AI340" s="9"/>
      <c r="AN340" s="9"/>
      <c r="AP340" s="8"/>
      <c r="AQ340" s="10"/>
      <c r="AR340" s="10"/>
      <c r="AS340" s="8"/>
      <c r="AT340" s="8"/>
      <c r="AU340" s="8"/>
    </row>
    <row r="341" spans="20:47" x14ac:dyDescent="0.4">
      <c r="T341" s="5"/>
      <c r="U341" s="8"/>
      <c r="V341" s="8"/>
      <c r="X341" s="5"/>
      <c r="AB341" s="5"/>
      <c r="AC341" s="8"/>
      <c r="AD341" s="8"/>
      <c r="AE341" s="8"/>
      <c r="AF341" s="8"/>
      <c r="AI341" s="9"/>
      <c r="AN341" s="9"/>
      <c r="AP341" s="8"/>
      <c r="AQ341" s="10"/>
      <c r="AR341" s="10"/>
      <c r="AS341" s="8"/>
      <c r="AT341" s="8"/>
      <c r="AU341" s="8"/>
    </row>
    <row r="342" spans="20:47" x14ac:dyDescent="0.4">
      <c r="T342" s="5"/>
      <c r="U342" s="8"/>
      <c r="V342" s="8"/>
      <c r="X342" s="5"/>
      <c r="AB342" s="5"/>
      <c r="AC342" s="8"/>
      <c r="AD342" s="8"/>
      <c r="AE342" s="8"/>
      <c r="AF342" s="8"/>
      <c r="AI342" s="9"/>
      <c r="AN342" s="9"/>
      <c r="AP342" s="8"/>
      <c r="AQ342" s="10"/>
      <c r="AR342" s="10"/>
      <c r="AS342" s="8"/>
      <c r="AT342" s="8"/>
      <c r="AU342" s="8"/>
    </row>
    <row r="343" spans="20:47" x14ac:dyDescent="0.4">
      <c r="T343" s="5"/>
      <c r="U343" s="8"/>
      <c r="V343" s="8"/>
      <c r="X343" s="5"/>
      <c r="AB343" s="5"/>
      <c r="AC343" s="8"/>
      <c r="AD343" s="8"/>
      <c r="AE343" s="8"/>
      <c r="AF343" s="8"/>
      <c r="AI343" s="9"/>
      <c r="AN343" s="9"/>
      <c r="AP343" s="8"/>
      <c r="AQ343" s="10"/>
      <c r="AR343" s="10"/>
      <c r="AS343" s="8"/>
      <c r="AT343" s="8"/>
      <c r="AU343" s="8"/>
    </row>
    <row r="344" spans="20:47" x14ac:dyDescent="0.4">
      <c r="T344" s="5"/>
      <c r="U344" s="8"/>
      <c r="V344" s="8"/>
      <c r="X344" s="5"/>
      <c r="AB344" s="5"/>
      <c r="AC344" s="8"/>
      <c r="AD344" s="8"/>
      <c r="AE344" s="8"/>
      <c r="AF344" s="8"/>
      <c r="AI344" s="9"/>
      <c r="AN344" s="9"/>
      <c r="AP344" s="8"/>
      <c r="AQ344" s="10"/>
      <c r="AR344" s="10"/>
      <c r="AS344" s="8"/>
      <c r="AT344" s="8"/>
      <c r="AU344" s="8"/>
    </row>
    <row r="345" spans="20:47" x14ac:dyDescent="0.4">
      <c r="T345" s="5"/>
      <c r="U345" s="8"/>
      <c r="V345" s="8"/>
      <c r="X345" s="5"/>
      <c r="AB345" s="5"/>
      <c r="AC345" s="8"/>
      <c r="AD345" s="8"/>
      <c r="AE345" s="8"/>
      <c r="AF345" s="8"/>
      <c r="AI345" s="9"/>
      <c r="AN345" s="9"/>
      <c r="AP345" s="8"/>
      <c r="AQ345" s="10"/>
      <c r="AR345" s="10"/>
      <c r="AS345" s="8"/>
      <c r="AT345" s="8"/>
      <c r="AU345" s="8"/>
    </row>
    <row r="346" spans="20:47" x14ac:dyDescent="0.4">
      <c r="T346" s="5"/>
      <c r="U346" s="8"/>
      <c r="V346" s="8"/>
      <c r="X346" s="5"/>
      <c r="AB346" s="5"/>
      <c r="AC346" s="8"/>
      <c r="AD346" s="8"/>
      <c r="AE346" s="8"/>
      <c r="AF346" s="8"/>
      <c r="AI346" s="9"/>
      <c r="AN346" s="9"/>
      <c r="AP346" s="8"/>
      <c r="AQ346" s="10"/>
      <c r="AR346" s="10"/>
      <c r="AS346" s="8"/>
      <c r="AT346" s="8"/>
      <c r="AU346" s="8"/>
    </row>
    <row r="347" spans="20:47" x14ac:dyDescent="0.4">
      <c r="T347" s="5"/>
      <c r="U347" s="8"/>
      <c r="V347" s="8"/>
      <c r="X347" s="5"/>
      <c r="AB347" s="5"/>
      <c r="AC347" s="8"/>
      <c r="AD347" s="8"/>
      <c r="AE347" s="8"/>
      <c r="AF347" s="8"/>
      <c r="AI347" s="9"/>
      <c r="AN347" s="9"/>
      <c r="AP347" s="8"/>
      <c r="AQ347" s="10"/>
      <c r="AR347" s="10"/>
      <c r="AS347" s="8"/>
      <c r="AT347" s="8"/>
      <c r="AU347" s="8"/>
    </row>
    <row r="348" spans="20:47" x14ac:dyDescent="0.4">
      <c r="T348" s="5"/>
      <c r="U348" s="8"/>
      <c r="V348" s="8"/>
      <c r="X348" s="5"/>
      <c r="AB348" s="5"/>
      <c r="AC348" s="8"/>
      <c r="AD348" s="8"/>
      <c r="AE348" s="8"/>
      <c r="AF348" s="8"/>
      <c r="AI348" s="9"/>
      <c r="AN348" s="9"/>
      <c r="AP348" s="8"/>
      <c r="AQ348" s="10"/>
      <c r="AR348" s="10"/>
      <c r="AS348" s="8"/>
      <c r="AT348" s="8"/>
      <c r="AU348" s="8"/>
    </row>
    <row r="349" spans="20:47" x14ac:dyDescent="0.4">
      <c r="T349" s="5"/>
      <c r="U349" s="8"/>
      <c r="V349" s="8"/>
      <c r="X349" s="5"/>
      <c r="AB349" s="5"/>
      <c r="AC349" s="8"/>
      <c r="AD349" s="8"/>
      <c r="AE349" s="8"/>
      <c r="AF349" s="8"/>
      <c r="AI349" s="9"/>
      <c r="AN349" s="9"/>
      <c r="AP349" s="8"/>
      <c r="AQ349" s="10"/>
      <c r="AR349" s="10"/>
      <c r="AS349" s="8"/>
      <c r="AT349" s="8"/>
      <c r="AU349" s="8"/>
    </row>
    <row r="350" spans="20:47" x14ac:dyDescent="0.4">
      <c r="T350" s="5"/>
      <c r="U350" s="8"/>
      <c r="V350" s="8"/>
      <c r="X350" s="5"/>
      <c r="AB350" s="5"/>
      <c r="AC350" s="8"/>
      <c r="AD350" s="8"/>
      <c r="AE350" s="8"/>
      <c r="AF350" s="8"/>
      <c r="AI350" s="9"/>
      <c r="AN350" s="9"/>
      <c r="AP350" s="8"/>
      <c r="AQ350" s="10"/>
      <c r="AR350" s="10"/>
      <c r="AS350" s="8"/>
      <c r="AT350" s="8"/>
      <c r="AU350" s="8"/>
    </row>
    <row r="351" spans="20:47" x14ac:dyDescent="0.4">
      <c r="T351" s="5"/>
      <c r="U351" s="8"/>
      <c r="V351" s="8"/>
      <c r="X351" s="5"/>
      <c r="AB351" s="5"/>
      <c r="AC351" s="8"/>
      <c r="AD351" s="8"/>
      <c r="AE351" s="8"/>
      <c r="AF351" s="8"/>
      <c r="AI351" s="9"/>
      <c r="AN351" s="9"/>
      <c r="AP351" s="8"/>
      <c r="AQ351" s="10"/>
      <c r="AR351" s="10"/>
      <c r="AS351" s="8"/>
      <c r="AT351" s="8"/>
      <c r="AU351" s="8"/>
    </row>
    <row r="352" spans="20:47" x14ac:dyDescent="0.4">
      <c r="T352" s="5"/>
      <c r="U352" s="8"/>
      <c r="V352" s="8"/>
      <c r="X352" s="5"/>
      <c r="AB352" s="5"/>
      <c r="AC352" s="8"/>
      <c r="AD352" s="8"/>
      <c r="AE352" s="8"/>
      <c r="AF352" s="8"/>
      <c r="AI352" s="9"/>
      <c r="AN352" s="9"/>
      <c r="AP352" s="8"/>
      <c r="AQ352" s="10"/>
      <c r="AR352" s="10"/>
      <c r="AS352" s="8"/>
      <c r="AT352" s="8"/>
      <c r="AU352" s="8"/>
    </row>
    <row r="353" spans="20:47" x14ac:dyDescent="0.4">
      <c r="T353" s="5"/>
      <c r="U353" s="8"/>
      <c r="V353" s="8"/>
      <c r="X353" s="5"/>
      <c r="AB353" s="5"/>
      <c r="AC353" s="8"/>
      <c r="AD353" s="8"/>
      <c r="AE353" s="8"/>
      <c r="AF353" s="8"/>
      <c r="AI353" s="9"/>
      <c r="AN353" s="9"/>
      <c r="AP353" s="8"/>
      <c r="AQ353" s="10"/>
      <c r="AR353" s="10"/>
      <c r="AS353" s="8"/>
      <c r="AT353" s="8"/>
      <c r="AU353" s="8"/>
    </row>
    <row r="354" spans="20:47" x14ac:dyDescent="0.4">
      <c r="T354" s="5"/>
      <c r="U354" s="8"/>
      <c r="V354" s="8"/>
      <c r="X354" s="5"/>
      <c r="AB354" s="5"/>
      <c r="AC354" s="8"/>
      <c r="AD354" s="8"/>
      <c r="AE354" s="8"/>
      <c r="AF354" s="8"/>
      <c r="AI354" s="9"/>
      <c r="AN354" s="9"/>
      <c r="AP354" s="8"/>
      <c r="AQ354" s="10"/>
      <c r="AR354" s="10"/>
      <c r="AS354" s="8"/>
      <c r="AT354" s="8"/>
      <c r="AU354" s="8"/>
    </row>
    <row r="355" spans="20:47" x14ac:dyDescent="0.4">
      <c r="T355" s="5"/>
      <c r="U355" s="8"/>
      <c r="V355" s="8"/>
      <c r="X355" s="5"/>
      <c r="AB355" s="5"/>
      <c r="AC355" s="8"/>
      <c r="AD355" s="8"/>
      <c r="AE355" s="8"/>
      <c r="AF355" s="8"/>
      <c r="AI355" s="9"/>
      <c r="AN355" s="9"/>
      <c r="AP355" s="8"/>
      <c r="AQ355" s="10"/>
      <c r="AR355" s="10"/>
      <c r="AS355" s="8"/>
      <c r="AT355" s="8"/>
      <c r="AU355" s="8"/>
    </row>
    <row r="356" spans="20:47" x14ac:dyDescent="0.4">
      <c r="T356" s="5"/>
      <c r="U356" s="8"/>
      <c r="V356" s="8"/>
      <c r="X356" s="5"/>
      <c r="AB356" s="5"/>
      <c r="AC356" s="8"/>
      <c r="AD356" s="8"/>
      <c r="AE356" s="8"/>
      <c r="AF356" s="8"/>
      <c r="AI356" s="9"/>
      <c r="AN356" s="9"/>
      <c r="AP356" s="8"/>
      <c r="AQ356" s="10"/>
      <c r="AR356" s="10"/>
      <c r="AS356" s="8"/>
      <c r="AT356" s="8"/>
      <c r="AU356" s="8"/>
    </row>
    <row r="357" spans="20:47" x14ac:dyDescent="0.4">
      <c r="T357" s="5"/>
      <c r="U357" s="8"/>
      <c r="V357" s="8"/>
      <c r="X357" s="5"/>
      <c r="AB357" s="5"/>
      <c r="AC357" s="8"/>
      <c r="AD357" s="8"/>
      <c r="AE357" s="8"/>
      <c r="AF357" s="8"/>
      <c r="AI357" s="9"/>
      <c r="AN357" s="9"/>
      <c r="AP357" s="8"/>
      <c r="AQ357" s="10"/>
      <c r="AR357" s="10"/>
      <c r="AS357" s="8"/>
      <c r="AT357" s="8"/>
      <c r="AU357" s="8"/>
    </row>
    <row r="358" spans="20:47" x14ac:dyDescent="0.4">
      <c r="T358" s="5"/>
      <c r="U358" s="8"/>
      <c r="V358" s="8"/>
      <c r="X358" s="5"/>
      <c r="AB358" s="5"/>
      <c r="AC358" s="8"/>
      <c r="AD358" s="8"/>
      <c r="AE358" s="8"/>
      <c r="AF358" s="8"/>
      <c r="AI358" s="9"/>
      <c r="AN358" s="9"/>
      <c r="AP358" s="8"/>
      <c r="AQ358" s="10"/>
      <c r="AR358" s="10"/>
      <c r="AS358" s="8"/>
      <c r="AT358" s="8"/>
      <c r="AU358" s="8"/>
    </row>
    <row r="359" spans="20:47" x14ac:dyDescent="0.4">
      <c r="T359" s="5"/>
      <c r="U359" s="8"/>
      <c r="V359" s="8"/>
      <c r="X359" s="5"/>
      <c r="AB359" s="5"/>
      <c r="AC359" s="8"/>
      <c r="AD359" s="8"/>
      <c r="AE359" s="8"/>
      <c r="AF359" s="8"/>
      <c r="AI359" s="9"/>
      <c r="AN359" s="9"/>
      <c r="AP359" s="8"/>
      <c r="AQ359" s="10"/>
      <c r="AR359" s="10"/>
      <c r="AS359" s="8"/>
      <c r="AT359" s="8"/>
      <c r="AU359" s="8"/>
    </row>
    <row r="360" spans="20:47" x14ac:dyDescent="0.4">
      <c r="T360" s="5"/>
      <c r="U360" s="8"/>
      <c r="V360" s="8"/>
      <c r="X360" s="5"/>
      <c r="AB360" s="5"/>
      <c r="AC360" s="8"/>
      <c r="AD360" s="8"/>
      <c r="AE360" s="8"/>
      <c r="AF360" s="8"/>
      <c r="AI360" s="9"/>
      <c r="AN360" s="9"/>
      <c r="AP360" s="8"/>
      <c r="AQ360" s="10"/>
      <c r="AR360" s="10"/>
      <c r="AS360" s="8"/>
      <c r="AT360" s="8"/>
      <c r="AU360" s="8"/>
    </row>
    <row r="361" spans="20:47" x14ac:dyDescent="0.4">
      <c r="T361" s="5"/>
      <c r="U361" s="8"/>
      <c r="V361" s="8"/>
      <c r="X361" s="5"/>
      <c r="AB361" s="5"/>
      <c r="AC361" s="8"/>
      <c r="AD361" s="8"/>
      <c r="AE361" s="8"/>
      <c r="AF361" s="8"/>
      <c r="AI361" s="9"/>
      <c r="AN361" s="9"/>
      <c r="AP361" s="8"/>
      <c r="AQ361" s="10"/>
      <c r="AR361" s="10"/>
      <c r="AS361" s="8"/>
      <c r="AT361" s="8"/>
      <c r="AU361" s="8"/>
    </row>
    <row r="362" spans="20:47" x14ac:dyDescent="0.4">
      <c r="T362" s="5"/>
      <c r="U362" s="8"/>
      <c r="V362" s="8"/>
      <c r="X362" s="5"/>
      <c r="AB362" s="5"/>
      <c r="AC362" s="8"/>
      <c r="AD362" s="8"/>
      <c r="AE362" s="8"/>
      <c r="AF362" s="8"/>
      <c r="AI362" s="9"/>
      <c r="AN362" s="9"/>
      <c r="AP362" s="8"/>
      <c r="AQ362" s="10"/>
      <c r="AR362" s="10"/>
      <c r="AS362" s="8"/>
      <c r="AT362" s="8"/>
      <c r="AU362" s="8"/>
    </row>
    <row r="363" spans="20:47" x14ac:dyDescent="0.4">
      <c r="T363" s="5"/>
      <c r="U363" s="8"/>
      <c r="V363" s="8"/>
      <c r="X363" s="5"/>
      <c r="AB363" s="5"/>
      <c r="AC363" s="8"/>
      <c r="AD363" s="8"/>
      <c r="AE363" s="8"/>
      <c r="AF363" s="8"/>
      <c r="AI363" s="9"/>
      <c r="AN363" s="9"/>
      <c r="AP363" s="8"/>
      <c r="AQ363" s="10"/>
      <c r="AR363" s="10"/>
      <c r="AS363" s="8"/>
      <c r="AT363" s="8"/>
      <c r="AU363" s="8"/>
    </row>
    <row r="364" spans="20:47" x14ac:dyDescent="0.4">
      <c r="T364" s="5"/>
      <c r="U364" s="8"/>
      <c r="V364" s="8"/>
      <c r="X364" s="5"/>
      <c r="AB364" s="5"/>
      <c r="AC364" s="8"/>
      <c r="AD364" s="8"/>
      <c r="AE364" s="8"/>
      <c r="AF364" s="8"/>
      <c r="AI364" s="9"/>
      <c r="AN364" s="9"/>
      <c r="AP364" s="8"/>
      <c r="AQ364" s="10"/>
      <c r="AR364" s="10"/>
      <c r="AS364" s="8"/>
      <c r="AT364" s="8"/>
      <c r="AU364" s="8"/>
    </row>
    <row r="365" spans="20:47" x14ac:dyDescent="0.4">
      <c r="T365" s="5"/>
      <c r="U365" s="8"/>
      <c r="V365" s="8"/>
      <c r="X365" s="5"/>
      <c r="AB365" s="5"/>
      <c r="AC365" s="8"/>
      <c r="AD365" s="8"/>
      <c r="AE365" s="8"/>
      <c r="AF365" s="8"/>
      <c r="AI365" s="9"/>
      <c r="AN365" s="9"/>
      <c r="AP365" s="8"/>
      <c r="AQ365" s="10"/>
      <c r="AR365" s="10"/>
      <c r="AS365" s="8"/>
      <c r="AT365" s="8"/>
      <c r="AU365" s="8"/>
    </row>
    <row r="366" spans="20:47" x14ac:dyDescent="0.4">
      <c r="T366" s="5"/>
      <c r="U366" s="8"/>
      <c r="V366" s="8"/>
      <c r="X366" s="5"/>
      <c r="AB366" s="5"/>
      <c r="AC366" s="8"/>
      <c r="AD366" s="8"/>
      <c r="AE366" s="8"/>
      <c r="AF366" s="8"/>
      <c r="AI366" s="9"/>
      <c r="AN366" s="9"/>
      <c r="AP366" s="8"/>
      <c r="AQ366" s="10"/>
      <c r="AR366" s="10"/>
      <c r="AS366" s="8"/>
      <c r="AT366" s="8"/>
      <c r="AU366" s="8"/>
    </row>
    <row r="367" spans="20:47" x14ac:dyDescent="0.4">
      <c r="T367" s="5"/>
      <c r="U367" s="8"/>
      <c r="V367" s="8"/>
      <c r="X367" s="5"/>
      <c r="AB367" s="5"/>
      <c r="AC367" s="8"/>
      <c r="AD367" s="8"/>
      <c r="AE367" s="8"/>
      <c r="AF367" s="8"/>
      <c r="AI367" s="9"/>
      <c r="AN367" s="9"/>
      <c r="AP367" s="8"/>
      <c r="AQ367" s="10"/>
      <c r="AR367" s="10"/>
      <c r="AS367" s="8"/>
      <c r="AT367" s="8"/>
      <c r="AU367" s="8"/>
    </row>
    <row r="368" spans="20:47" x14ac:dyDescent="0.4">
      <c r="T368" s="5"/>
      <c r="U368" s="8"/>
      <c r="V368" s="8"/>
      <c r="X368" s="5"/>
      <c r="AB368" s="5"/>
      <c r="AC368" s="8"/>
      <c r="AD368" s="8"/>
      <c r="AE368" s="8"/>
      <c r="AF368" s="8"/>
      <c r="AI368" s="9"/>
      <c r="AN368" s="9"/>
      <c r="AP368" s="8"/>
      <c r="AQ368" s="10"/>
      <c r="AR368" s="10"/>
      <c r="AS368" s="8"/>
      <c r="AT368" s="8"/>
      <c r="AU368" s="8"/>
    </row>
    <row r="369" spans="20:47" x14ac:dyDescent="0.4">
      <c r="T369" s="5"/>
      <c r="U369" s="8"/>
      <c r="V369" s="8"/>
      <c r="X369" s="5"/>
      <c r="AB369" s="5"/>
      <c r="AC369" s="8"/>
      <c r="AD369" s="8"/>
      <c r="AE369" s="8"/>
      <c r="AF369" s="8"/>
      <c r="AI369" s="9"/>
      <c r="AN369" s="9"/>
      <c r="AP369" s="8"/>
      <c r="AQ369" s="10"/>
      <c r="AR369" s="10"/>
      <c r="AS369" s="8"/>
      <c r="AT369" s="8"/>
      <c r="AU369" s="8"/>
    </row>
    <row r="370" spans="20:47" x14ac:dyDescent="0.4">
      <c r="T370" s="5"/>
      <c r="U370" s="8"/>
      <c r="V370" s="8"/>
      <c r="X370" s="5"/>
      <c r="AB370" s="5"/>
      <c r="AC370" s="8"/>
      <c r="AD370" s="8"/>
      <c r="AE370" s="8"/>
      <c r="AF370" s="8"/>
      <c r="AI370" s="9"/>
      <c r="AN370" s="9"/>
      <c r="AP370" s="8"/>
      <c r="AQ370" s="10"/>
      <c r="AR370" s="10"/>
      <c r="AS370" s="8"/>
      <c r="AT370" s="8"/>
      <c r="AU370" s="8"/>
    </row>
    <row r="371" spans="20:47" x14ac:dyDescent="0.4">
      <c r="T371" s="5"/>
      <c r="U371" s="8"/>
      <c r="V371" s="8"/>
      <c r="X371" s="5"/>
      <c r="AB371" s="5"/>
      <c r="AC371" s="8"/>
      <c r="AD371" s="8"/>
      <c r="AE371" s="8"/>
      <c r="AF371" s="8"/>
      <c r="AI371" s="9"/>
      <c r="AN371" s="9"/>
      <c r="AP371" s="8"/>
      <c r="AQ371" s="10"/>
      <c r="AR371" s="10"/>
      <c r="AS371" s="8"/>
      <c r="AT371" s="8"/>
      <c r="AU371" s="8"/>
    </row>
    <row r="372" spans="20:47" x14ac:dyDescent="0.4">
      <c r="T372" s="5"/>
      <c r="U372" s="8"/>
      <c r="V372" s="8"/>
      <c r="X372" s="5"/>
      <c r="AB372" s="5"/>
      <c r="AC372" s="8"/>
      <c r="AD372" s="8"/>
      <c r="AE372" s="8"/>
      <c r="AF372" s="8"/>
      <c r="AI372" s="9"/>
      <c r="AN372" s="9"/>
      <c r="AP372" s="8"/>
      <c r="AQ372" s="10"/>
      <c r="AR372" s="10"/>
      <c r="AS372" s="8"/>
      <c r="AT372" s="8"/>
      <c r="AU372" s="8"/>
    </row>
    <row r="373" spans="20:47" x14ac:dyDescent="0.4">
      <c r="T373" s="5"/>
      <c r="U373" s="8"/>
      <c r="V373" s="8"/>
      <c r="X373" s="5"/>
      <c r="AB373" s="5"/>
      <c r="AC373" s="8"/>
      <c r="AD373" s="8"/>
      <c r="AE373" s="8"/>
      <c r="AF373" s="8"/>
      <c r="AI373" s="9"/>
      <c r="AN373" s="9"/>
      <c r="AP373" s="8"/>
      <c r="AQ373" s="10"/>
      <c r="AR373" s="10"/>
      <c r="AS373" s="8"/>
      <c r="AT373" s="8"/>
      <c r="AU373" s="8"/>
    </row>
    <row r="374" spans="20:47" x14ac:dyDescent="0.4">
      <c r="T374" s="5"/>
      <c r="U374" s="8"/>
      <c r="V374" s="8"/>
      <c r="X374" s="5"/>
      <c r="AB374" s="5"/>
      <c r="AC374" s="8"/>
      <c r="AD374" s="8"/>
      <c r="AE374" s="8"/>
      <c r="AF374" s="8"/>
      <c r="AI374" s="9"/>
      <c r="AN374" s="9"/>
      <c r="AP374" s="8"/>
      <c r="AQ374" s="10"/>
      <c r="AR374" s="10"/>
      <c r="AS374" s="8"/>
      <c r="AT374" s="8"/>
      <c r="AU374" s="8"/>
    </row>
    <row r="375" spans="20:47" x14ac:dyDescent="0.4">
      <c r="T375" s="5"/>
      <c r="U375" s="8"/>
      <c r="V375" s="8"/>
      <c r="X375" s="5"/>
      <c r="AB375" s="5"/>
      <c r="AC375" s="8"/>
      <c r="AD375" s="8"/>
      <c r="AE375" s="8"/>
      <c r="AF375" s="8"/>
      <c r="AI375" s="9"/>
      <c r="AN375" s="9"/>
      <c r="AP375" s="8"/>
      <c r="AQ375" s="10"/>
      <c r="AR375" s="10"/>
      <c r="AS375" s="8"/>
      <c r="AT375" s="8"/>
      <c r="AU375" s="8"/>
    </row>
    <row r="376" spans="20:47" x14ac:dyDescent="0.4">
      <c r="T376" s="5"/>
      <c r="U376" s="8"/>
      <c r="V376" s="8"/>
      <c r="X376" s="5"/>
      <c r="AB376" s="5"/>
      <c r="AC376" s="8"/>
      <c r="AD376" s="8"/>
      <c r="AE376" s="8"/>
      <c r="AF376" s="8"/>
      <c r="AI376" s="9"/>
      <c r="AN376" s="9"/>
      <c r="AP376" s="8"/>
      <c r="AQ376" s="10"/>
      <c r="AR376" s="10"/>
      <c r="AS376" s="8"/>
      <c r="AT376" s="8"/>
      <c r="AU376" s="8"/>
    </row>
    <row r="377" spans="20:47" x14ac:dyDescent="0.4">
      <c r="T377" s="5"/>
      <c r="U377" s="8"/>
      <c r="V377" s="8"/>
      <c r="X377" s="5"/>
      <c r="AB377" s="5"/>
      <c r="AC377" s="8"/>
      <c r="AD377" s="8"/>
      <c r="AE377" s="8"/>
      <c r="AF377" s="8"/>
      <c r="AI377" s="9"/>
      <c r="AN377" s="9"/>
      <c r="AP377" s="8"/>
      <c r="AQ377" s="10"/>
      <c r="AR377" s="10"/>
      <c r="AS377" s="8"/>
      <c r="AT377" s="8"/>
      <c r="AU377" s="8"/>
    </row>
    <row r="378" spans="20:47" x14ac:dyDescent="0.4">
      <c r="T378" s="5"/>
      <c r="U378" s="8"/>
      <c r="V378" s="8"/>
      <c r="X378" s="5"/>
      <c r="AB378" s="5"/>
      <c r="AC378" s="8"/>
      <c r="AD378" s="8"/>
      <c r="AE378" s="8"/>
      <c r="AF378" s="8"/>
      <c r="AI378" s="9"/>
      <c r="AN378" s="9"/>
      <c r="AP378" s="8"/>
      <c r="AQ378" s="10"/>
      <c r="AR378" s="10"/>
      <c r="AS378" s="8"/>
      <c r="AT378" s="8"/>
      <c r="AU378" s="8"/>
    </row>
    <row r="379" spans="20:47" x14ac:dyDescent="0.4">
      <c r="T379" s="5"/>
      <c r="U379" s="8"/>
      <c r="V379" s="8"/>
      <c r="X379" s="5"/>
      <c r="AB379" s="5"/>
      <c r="AC379" s="8"/>
      <c r="AD379" s="8"/>
      <c r="AE379" s="8"/>
      <c r="AF379" s="8"/>
      <c r="AI379" s="9"/>
      <c r="AN379" s="9"/>
      <c r="AP379" s="8"/>
      <c r="AQ379" s="10"/>
      <c r="AR379" s="10"/>
      <c r="AS379" s="8"/>
      <c r="AT379" s="8"/>
      <c r="AU379" s="8"/>
    </row>
    <row r="380" spans="20:47" x14ac:dyDescent="0.4">
      <c r="T380" s="5"/>
      <c r="U380" s="8"/>
      <c r="V380" s="8"/>
      <c r="X380" s="5"/>
      <c r="AB380" s="5"/>
      <c r="AC380" s="8"/>
      <c r="AD380" s="8"/>
      <c r="AE380" s="8"/>
      <c r="AF380" s="8"/>
      <c r="AI380" s="9"/>
      <c r="AN380" s="9"/>
      <c r="AP380" s="8"/>
      <c r="AQ380" s="10"/>
      <c r="AR380" s="10"/>
      <c r="AS380" s="8"/>
      <c r="AT380" s="8"/>
      <c r="AU380" s="8"/>
    </row>
    <row r="381" spans="20:47" x14ac:dyDescent="0.4">
      <c r="T381" s="5"/>
      <c r="U381" s="8"/>
      <c r="V381" s="8"/>
      <c r="X381" s="5"/>
      <c r="AB381" s="5"/>
      <c r="AC381" s="8"/>
      <c r="AD381" s="8"/>
      <c r="AE381" s="8"/>
      <c r="AF381" s="8"/>
      <c r="AI381" s="9"/>
      <c r="AN381" s="9"/>
      <c r="AP381" s="8"/>
      <c r="AQ381" s="10"/>
      <c r="AR381" s="10"/>
      <c r="AS381" s="8"/>
      <c r="AT381" s="8"/>
      <c r="AU381" s="8"/>
    </row>
    <row r="382" spans="20:47" x14ac:dyDescent="0.4">
      <c r="T382" s="5"/>
      <c r="U382" s="8"/>
      <c r="V382" s="8"/>
      <c r="X382" s="5"/>
      <c r="AB382" s="5"/>
      <c r="AC382" s="8"/>
      <c r="AD382" s="8"/>
      <c r="AE382" s="8"/>
      <c r="AF382" s="8"/>
      <c r="AI382" s="9"/>
      <c r="AN382" s="9"/>
      <c r="AP382" s="8"/>
      <c r="AQ382" s="10"/>
      <c r="AR382" s="10"/>
      <c r="AS382" s="8"/>
      <c r="AT382" s="8"/>
      <c r="AU382" s="8"/>
    </row>
    <row r="383" spans="20:47" x14ac:dyDescent="0.4">
      <c r="T383" s="5"/>
      <c r="U383" s="8"/>
      <c r="V383" s="8"/>
      <c r="X383" s="5"/>
      <c r="AB383" s="5"/>
      <c r="AC383" s="8"/>
      <c r="AD383" s="8"/>
      <c r="AE383" s="8"/>
      <c r="AF383" s="8"/>
      <c r="AI383" s="9"/>
      <c r="AN383" s="9"/>
      <c r="AP383" s="8"/>
      <c r="AQ383" s="10"/>
      <c r="AR383" s="10"/>
      <c r="AS383" s="8"/>
      <c r="AT383" s="8"/>
      <c r="AU383" s="8"/>
    </row>
    <row r="384" spans="20:47" x14ac:dyDescent="0.4">
      <c r="T384" s="5"/>
      <c r="U384" s="8"/>
      <c r="V384" s="8"/>
      <c r="X384" s="5"/>
      <c r="AB384" s="5"/>
      <c r="AC384" s="8"/>
      <c r="AD384" s="8"/>
      <c r="AE384" s="8"/>
      <c r="AF384" s="8"/>
      <c r="AI384" s="9"/>
      <c r="AN384" s="9"/>
      <c r="AP384" s="8"/>
      <c r="AQ384" s="10"/>
      <c r="AR384" s="10"/>
      <c r="AS384" s="8"/>
      <c r="AT384" s="8"/>
      <c r="AU384" s="8"/>
    </row>
    <row r="385" spans="20:47" x14ac:dyDescent="0.4">
      <c r="T385" s="5"/>
      <c r="U385" s="8"/>
      <c r="V385" s="8"/>
      <c r="X385" s="5"/>
      <c r="AB385" s="5"/>
      <c r="AC385" s="8"/>
      <c r="AD385" s="8"/>
      <c r="AE385" s="8"/>
      <c r="AF385" s="8"/>
      <c r="AI385" s="9"/>
      <c r="AN385" s="9"/>
      <c r="AP385" s="8"/>
      <c r="AQ385" s="10"/>
      <c r="AR385" s="10"/>
      <c r="AS385" s="8"/>
      <c r="AT385" s="8"/>
      <c r="AU385" s="8"/>
    </row>
    <row r="386" spans="20:47" x14ac:dyDescent="0.4">
      <c r="T386" s="5"/>
      <c r="U386" s="8"/>
      <c r="V386" s="8"/>
      <c r="X386" s="5"/>
      <c r="AB386" s="5"/>
      <c r="AC386" s="8"/>
      <c r="AD386" s="8"/>
      <c r="AE386" s="8"/>
      <c r="AF386" s="8"/>
      <c r="AI386" s="9"/>
      <c r="AN386" s="9"/>
      <c r="AP386" s="8"/>
      <c r="AQ386" s="10"/>
      <c r="AR386" s="10"/>
      <c r="AS386" s="8"/>
      <c r="AT386" s="8"/>
      <c r="AU386" s="8"/>
    </row>
    <row r="387" spans="20:47" x14ac:dyDescent="0.4">
      <c r="T387" s="5"/>
      <c r="U387" s="8"/>
      <c r="V387" s="8"/>
      <c r="X387" s="5"/>
      <c r="AB387" s="5"/>
      <c r="AC387" s="8"/>
      <c r="AD387" s="8"/>
      <c r="AE387" s="8"/>
      <c r="AF387" s="8"/>
      <c r="AI387" s="9"/>
      <c r="AN387" s="9"/>
      <c r="AP387" s="8"/>
      <c r="AQ387" s="10"/>
      <c r="AR387" s="10"/>
      <c r="AS387" s="8"/>
      <c r="AT387" s="8"/>
      <c r="AU387" s="8"/>
    </row>
    <row r="388" spans="20:47" x14ac:dyDescent="0.4">
      <c r="T388" s="5"/>
      <c r="U388" s="8"/>
      <c r="V388" s="8"/>
      <c r="X388" s="5"/>
      <c r="AB388" s="5"/>
      <c r="AC388" s="8"/>
      <c r="AD388" s="8"/>
      <c r="AE388" s="8"/>
      <c r="AF388" s="8"/>
      <c r="AI388" s="9"/>
      <c r="AN388" s="9"/>
      <c r="AP388" s="8"/>
      <c r="AQ388" s="10"/>
      <c r="AR388" s="10"/>
      <c r="AS388" s="8"/>
      <c r="AT388" s="8"/>
      <c r="AU388" s="8"/>
    </row>
    <row r="389" spans="20:47" x14ac:dyDescent="0.4">
      <c r="T389" s="5"/>
      <c r="U389" s="8"/>
      <c r="V389" s="8"/>
      <c r="X389" s="5"/>
      <c r="AB389" s="5"/>
      <c r="AC389" s="8"/>
      <c r="AD389" s="8"/>
      <c r="AE389" s="8"/>
      <c r="AF389" s="8"/>
      <c r="AI389" s="9"/>
      <c r="AN389" s="9"/>
      <c r="AP389" s="8"/>
      <c r="AQ389" s="10"/>
      <c r="AR389" s="10"/>
      <c r="AS389" s="8"/>
      <c r="AT389" s="8"/>
      <c r="AU389" s="8"/>
    </row>
    <row r="390" spans="20:47" x14ac:dyDescent="0.4">
      <c r="T390" s="5"/>
      <c r="U390" s="8"/>
      <c r="V390" s="8"/>
      <c r="X390" s="5"/>
      <c r="AB390" s="5"/>
      <c r="AC390" s="8"/>
      <c r="AD390" s="8"/>
      <c r="AE390" s="8"/>
      <c r="AF390" s="8"/>
      <c r="AI390" s="9"/>
      <c r="AN390" s="9"/>
      <c r="AP390" s="8"/>
      <c r="AQ390" s="10"/>
      <c r="AR390" s="10"/>
      <c r="AS390" s="8"/>
      <c r="AT390" s="8"/>
      <c r="AU390" s="8"/>
    </row>
    <row r="391" spans="20:47" x14ac:dyDescent="0.4">
      <c r="T391" s="5"/>
      <c r="U391" s="8"/>
      <c r="V391" s="8"/>
      <c r="X391" s="5"/>
      <c r="AB391" s="5"/>
      <c r="AC391" s="8"/>
      <c r="AD391" s="8"/>
      <c r="AE391" s="8"/>
      <c r="AF391" s="8"/>
      <c r="AI391" s="9"/>
      <c r="AN391" s="9"/>
      <c r="AP391" s="8"/>
      <c r="AQ391" s="10"/>
      <c r="AR391" s="10"/>
      <c r="AS391" s="8"/>
      <c r="AT391" s="8"/>
      <c r="AU391" s="8"/>
    </row>
    <row r="392" spans="20:47" x14ac:dyDescent="0.4">
      <c r="T392" s="5"/>
      <c r="U392" s="8"/>
      <c r="V392" s="8"/>
      <c r="X392" s="5"/>
      <c r="AB392" s="5"/>
      <c r="AC392" s="8"/>
      <c r="AD392" s="8"/>
      <c r="AE392" s="8"/>
      <c r="AF392" s="8"/>
      <c r="AI392" s="9"/>
      <c r="AN392" s="9"/>
      <c r="AP392" s="8"/>
      <c r="AQ392" s="10"/>
      <c r="AR392" s="10"/>
      <c r="AS392" s="8"/>
      <c r="AT392" s="8"/>
      <c r="AU392" s="8"/>
    </row>
    <row r="393" spans="20:47" x14ac:dyDescent="0.4">
      <c r="T393" s="5"/>
      <c r="U393" s="8"/>
      <c r="V393" s="8"/>
      <c r="X393" s="5"/>
      <c r="AB393" s="5"/>
      <c r="AC393" s="8"/>
      <c r="AD393" s="8"/>
      <c r="AE393" s="8"/>
      <c r="AF393" s="8"/>
      <c r="AI393" s="9"/>
      <c r="AN393" s="9"/>
      <c r="AP393" s="8"/>
      <c r="AQ393" s="10"/>
      <c r="AR393" s="10"/>
      <c r="AS393" s="8"/>
      <c r="AT393" s="8"/>
      <c r="AU393" s="8"/>
    </row>
    <row r="394" spans="20:47" x14ac:dyDescent="0.4">
      <c r="T394" s="5"/>
      <c r="U394" s="8"/>
      <c r="V394" s="8"/>
      <c r="X394" s="5"/>
      <c r="AB394" s="5"/>
      <c r="AC394" s="8"/>
      <c r="AD394" s="8"/>
      <c r="AE394" s="8"/>
      <c r="AF394" s="8"/>
      <c r="AI394" s="9"/>
      <c r="AN394" s="9"/>
      <c r="AP394" s="8"/>
      <c r="AQ394" s="10"/>
      <c r="AR394" s="10"/>
      <c r="AS394" s="8"/>
      <c r="AT394" s="8"/>
      <c r="AU394" s="8"/>
    </row>
    <row r="395" spans="20:47" x14ac:dyDescent="0.4">
      <c r="T395" s="5"/>
      <c r="U395" s="8"/>
      <c r="V395" s="8"/>
      <c r="X395" s="5"/>
      <c r="AB395" s="5"/>
      <c r="AC395" s="8"/>
      <c r="AD395" s="8"/>
      <c r="AE395" s="8"/>
      <c r="AF395" s="8"/>
      <c r="AI395" s="9"/>
      <c r="AN395" s="9"/>
      <c r="AP395" s="8"/>
      <c r="AQ395" s="10"/>
      <c r="AR395" s="10"/>
      <c r="AS395" s="8"/>
      <c r="AT395" s="8"/>
      <c r="AU395" s="8"/>
    </row>
    <row r="396" spans="20:47" x14ac:dyDescent="0.4">
      <c r="T396" s="5"/>
      <c r="U396" s="8"/>
      <c r="V396" s="8"/>
      <c r="X396" s="5"/>
      <c r="AB396" s="5"/>
      <c r="AC396" s="8"/>
      <c r="AD396" s="8"/>
      <c r="AE396" s="8"/>
      <c r="AF396" s="8"/>
      <c r="AI396" s="9"/>
      <c r="AN396" s="9"/>
      <c r="AP396" s="8"/>
      <c r="AQ396" s="10"/>
      <c r="AR396" s="10"/>
      <c r="AS396" s="8"/>
      <c r="AT396" s="8"/>
      <c r="AU396" s="8"/>
    </row>
    <row r="397" spans="20:47" x14ac:dyDescent="0.4">
      <c r="T397" s="5"/>
      <c r="U397" s="8"/>
      <c r="V397" s="8"/>
      <c r="X397" s="5"/>
      <c r="AB397" s="5"/>
      <c r="AC397" s="8"/>
      <c r="AD397" s="8"/>
      <c r="AE397" s="8"/>
      <c r="AF397" s="8"/>
      <c r="AI397" s="9"/>
      <c r="AN397" s="9"/>
      <c r="AP397" s="8"/>
      <c r="AQ397" s="10"/>
      <c r="AR397" s="10"/>
      <c r="AS397" s="8"/>
      <c r="AT397" s="8"/>
      <c r="AU397" s="8"/>
    </row>
    <row r="398" spans="20:47" x14ac:dyDescent="0.4">
      <c r="T398" s="5"/>
      <c r="U398" s="8"/>
      <c r="V398" s="8"/>
      <c r="X398" s="5"/>
      <c r="AB398" s="5"/>
      <c r="AC398" s="8"/>
      <c r="AD398" s="8"/>
      <c r="AE398" s="8"/>
      <c r="AF398" s="8"/>
      <c r="AI398" s="9"/>
      <c r="AN398" s="9"/>
      <c r="AP398" s="8"/>
      <c r="AQ398" s="10"/>
      <c r="AR398" s="10"/>
      <c r="AS398" s="8"/>
      <c r="AT398" s="8"/>
      <c r="AU398" s="8"/>
    </row>
    <row r="399" spans="20:47" x14ac:dyDescent="0.4">
      <c r="T399" s="5"/>
      <c r="U399" s="8"/>
      <c r="V399" s="8"/>
      <c r="X399" s="5"/>
      <c r="AB399" s="5"/>
      <c r="AC399" s="8"/>
      <c r="AD399" s="8"/>
      <c r="AE399" s="8"/>
      <c r="AF399" s="8"/>
      <c r="AI399" s="9"/>
      <c r="AN399" s="9"/>
      <c r="AP399" s="8"/>
      <c r="AQ399" s="10"/>
      <c r="AR399" s="10"/>
      <c r="AS399" s="8"/>
      <c r="AT399" s="8"/>
      <c r="AU399" s="8"/>
    </row>
    <row r="400" spans="20:47" x14ac:dyDescent="0.4">
      <c r="T400" s="5"/>
      <c r="U400" s="8"/>
      <c r="V400" s="8"/>
      <c r="X400" s="5"/>
      <c r="AB400" s="5"/>
      <c r="AC400" s="8"/>
      <c r="AD400" s="8"/>
      <c r="AE400" s="8"/>
      <c r="AF400" s="8"/>
      <c r="AI400" s="9"/>
      <c r="AN400" s="9"/>
      <c r="AP400" s="8"/>
      <c r="AQ400" s="10"/>
      <c r="AR400" s="10"/>
      <c r="AS400" s="8"/>
      <c r="AT400" s="8"/>
      <c r="AU400" s="8"/>
    </row>
    <row r="401" spans="20:47" x14ac:dyDescent="0.4">
      <c r="T401" s="5"/>
      <c r="U401" s="8"/>
      <c r="V401" s="8"/>
      <c r="X401" s="5"/>
      <c r="AB401" s="5"/>
      <c r="AC401" s="8"/>
      <c r="AD401" s="8"/>
      <c r="AE401" s="8"/>
      <c r="AF401" s="8"/>
      <c r="AI401" s="9"/>
      <c r="AN401" s="9"/>
      <c r="AP401" s="8"/>
      <c r="AQ401" s="10"/>
      <c r="AR401" s="10"/>
      <c r="AS401" s="8"/>
      <c r="AT401" s="8"/>
      <c r="AU401" s="8"/>
    </row>
    <row r="402" spans="20:47" x14ac:dyDescent="0.4">
      <c r="T402" s="5"/>
      <c r="U402" s="8"/>
      <c r="V402" s="8"/>
      <c r="X402" s="5"/>
      <c r="AB402" s="5"/>
      <c r="AC402" s="8"/>
      <c r="AD402" s="8"/>
      <c r="AE402" s="8"/>
      <c r="AF402" s="8"/>
      <c r="AI402" s="9"/>
      <c r="AN402" s="9"/>
      <c r="AP402" s="8"/>
      <c r="AQ402" s="10"/>
      <c r="AR402" s="10"/>
      <c r="AS402" s="8"/>
      <c r="AT402" s="8"/>
      <c r="AU402" s="8"/>
    </row>
    <row r="403" spans="20:47" x14ac:dyDescent="0.4">
      <c r="T403" s="5"/>
      <c r="U403" s="8"/>
      <c r="V403" s="8"/>
      <c r="X403" s="5"/>
      <c r="AB403" s="5"/>
      <c r="AC403" s="8"/>
      <c r="AD403" s="8"/>
      <c r="AE403" s="8"/>
      <c r="AF403" s="8"/>
      <c r="AI403" s="9"/>
      <c r="AN403" s="9"/>
      <c r="AP403" s="8"/>
      <c r="AQ403" s="10"/>
      <c r="AR403" s="10"/>
      <c r="AS403" s="8"/>
      <c r="AT403" s="8"/>
      <c r="AU403" s="8"/>
    </row>
    <row r="404" spans="20:47" x14ac:dyDescent="0.4">
      <c r="T404" s="5"/>
      <c r="U404" s="8"/>
      <c r="V404" s="8"/>
      <c r="X404" s="5"/>
      <c r="AB404" s="5"/>
      <c r="AC404" s="8"/>
      <c r="AD404" s="8"/>
      <c r="AE404" s="8"/>
      <c r="AF404" s="8"/>
      <c r="AI404" s="9"/>
      <c r="AN404" s="9"/>
      <c r="AP404" s="8"/>
      <c r="AQ404" s="10"/>
      <c r="AR404" s="10"/>
      <c r="AS404" s="8"/>
      <c r="AT404" s="8"/>
      <c r="AU404" s="8"/>
    </row>
    <row r="405" spans="20:47" x14ac:dyDescent="0.4">
      <c r="T405" s="5"/>
      <c r="U405" s="8"/>
      <c r="V405" s="8"/>
      <c r="X405" s="5"/>
      <c r="AB405" s="5"/>
      <c r="AC405" s="8"/>
      <c r="AD405" s="8"/>
      <c r="AE405" s="8"/>
      <c r="AF405" s="8"/>
      <c r="AI405" s="9"/>
      <c r="AN405" s="9"/>
      <c r="AP405" s="8"/>
      <c r="AQ405" s="10"/>
      <c r="AR405" s="10"/>
      <c r="AS405" s="8"/>
      <c r="AT405" s="8"/>
      <c r="AU405" s="8"/>
    </row>
    <row r="406" spans="20:47" x14ac:dyDescent="0.4">
      <c r="T406" s="5"/>
      <c r="U406" s="8"/>
      <c r="V406" s="8"/>
      <c r="X406" s="5"/>
      <c r="AB406" s="5"/>
      <c r="AC406" s="8"/>
      <c r="AD406" s="8"/>
      <c r="AE406" s="8"/>
      <c r="AF406" s="8"/>
      <c r="AI406" s="9"/>
      <c r="AN406" s="9"/>
      <c r="AP406" s="8"/>
      <c r="AQ406" s="10"/>
      <c r="AR406" s="10"/>
      <c r="AS406" s="8"/>
      <c r="AT406" s="8"/>
      <c r="AU406" s="8"/>
    </row>
    <row r="407" spans="20:47" x14ac:dyDescent="0.4">
      <c r="T407" s="5"/>
      <c r="U407" s="8"/>
      <c r="V407" s="8"/>
      <c r="X407" s="5"/>
      <c r="AB407" s="5"/>
      <c r="AC407" s="8"/>
      <c r="AD407" s="8"/>
      <c r="AE407" s="8"/>
      <c r="AF407" s="8"/>
      <c r="AI407" s="9"/>
      <c r="AN407" s="9"/>
      <c r="AP407" s="8"/>
      <c r="AQ407" s="10"/>
      <c r="AR407" s="10"/>
      <c r="AS407" s="8"/>
      <c r="AT407" s="8"/>
      <c r="AU407" s="8"/>
    </row>
    <row r="408" spans="20:47" x14ac:dyDescent="0.4">
      <c r="T408" s="5"/>
      <c r="U408" s="8"/>
      <c r="V408" s="8"/>
      <c r="X408" s="5"/>
      <c r="AB408" s="5"/>
      <c r="AC408" s="8"/>
      <c r="AD408" s="8"/>
      <c r="AE408" s="8"/>
      <c r="AF408" s="8"/>
      <c r="AI408" s="9"/>
      <c r="AN408" s="9"/>
      <c r="AP408" s="8"/>
      <c r="AQ408" s="10"/>
      <c r="AR408" s="10"/>
      <c r="AS408" s="8"/>
      <c r="AT408" s="8"/>
      <c r="AU408" s="8"/>
    </row>
    <row r="409" spans="20:47" x14ac:dyDescent="0.4">
      <c r="T409" s="5"/>
      <c r="U409" s="8"/>
      <c r="V409" s="8"/>
      <c r="X409" s="5"/>
      <c r="AB409" s="5"/>
      <c r="AC409" s="8"/>
      <c r="AD409" s="8"/>
      <c r="AE409" s="8"/>
      <c r="AF409" s="8"/>
      <c r="AI409" s="9"/>
      <c r="AN409" s="9"/>
      <c r="AP409" s="8"/>
      <c r="AQ409" s="10"/>
      <c r="AR409" s="10"/>
      <c r="AS409" s="8"/>
      <c r="AT409" s="8"/>
      <c r="AU409" s="8"/>
    </row>
    <row r="410" spans="20:47" x14ac:dyDescent="0.4">
      <c r="T410" s="5"/>
      <c r="U410" s="8"/>
      <c r="V410" s="8"/>
      <c r="X410" s="5"/>
      <c r="AB410" s="5"/>
      <c r="AC410" s="8"/>
      <c r="AD410" s="8"/>
      <c r="AE410" s="8"/>
      <c r="AF410" s="8"/>
      <c r="AI410" s="9"/>
      <c r="AN410" s="9"/>
      <c r="AP410" s="8"/>
      <c r="AQ410" s="10"/>
      <c r="AR410" s="10"/>
      <c r="AS410" s="8"/>
      <c r="AT410" s="8"/>
      <c r="AU410" s="8"/>
    </row>
    <row r="411" spans="20:47" x14ac:dyDescent="0.4">
      <c r="T411" s="5"/>
      <c r="U411" s="8"/>
      <c r="V411" s="8"/>
      <c r="X411" s="5"/>
      <c r="AB411" s="5"/>
      <c r="AC411" s="8"/>
      <c r="AD411" s="8"/>
      <c r="AE411" s="8"/>
      <c r="AF411" s="8"/>
      <c r="AI411" s="9"/>
      <c r="AN411" s="9"/>
      <c r="AP411" s="8"/>
      <c r="AQ411" s="10"/>
      <c r="AR411" s="10"/>
      <c r="AS411" s="8"/>
      <c r="AT411" s="8"/>
      <c r="AU411" s="8"/>
    </row>
    <row r="412" spans="20:47" x14ac:dyDescent="0.4">
      <c r="T412" s="5"/>
      <c r="U412" s="8"/>
      <c r="V412" s="8"/>
      <c r="X412" s="5"/>
      <c r="AB412" s="5"/>
      <c r="AC412" s="8"/>
      <c r="AD412" s="8"/>
      <c r="AE412" s="8"/>
      <c r="AF412" s="8"/>
      <c r="AI412" s="9"/>
      <c r="AN412" s="9"/>
      <c r="AP412" s="8"/>
      <c r="AQ412" s="10"/>
      <c r="AR412" s="10"/>
      <c r="AS412" s="8"/>
      <c r="AT412" s="8"/>
      <c r="AU412" s="8"/>
    </row>
    <row r="413" spans="20:47" x14ac:dyDescent="0.4">
      <c r="T413" s="5"/>
      <c r="U413" s="8"/>
      <c r="V413" s="8"/>
      <c r="X413" s="5"/>
      <c r="AB413" s="5"/>
      <c r="AC413" s="8"/>
      <c r="AD413" s="8"/>
      <c r="AE413" s="8"/>
      <c r="AF413" s="8"/>
      <c r="AI413" s="9"/>
      <c r="AN413" s="9"/>
      <c r="AP413" s="8"/>
      <c r="AQ413" s="10"/>
      <c r="AR413" s="10"/>
      <c r="AS413" s="8"/>
      <c r="AT413" s="8"/>
      <c r="AU413" s="8"/>
    </row>
    <row r="414" spans="20:47" x14ac:dyDescent="0.4">
      <c r="T414" s="5"/>
      <c r="U414" s="8"/>
      <c r="V414" s="8"/>
      <c r="X414" s="5"/>
      <c r="AB414" s="5"/>
      <c r="AC414" s="8"/>
      <c r="AD414" s="8"/>
      <c r="AE414" s="8"/>
      <c r="AF414" s="8"/>
      <c r="AI414" s="9"/>
      <c r="AN414" s="9"/>
      <c r="AP414" s="8"/>
      <c r="AQ414" s="10"/>
      <c r="AR414" s="10"/>
      <c r="AS414" s="8"/>
      <c r="AT414" s="8"/>
      <c r="AU414" s="8"/>
    </row>
    <row r="415" spans="20:47" x14ac:dyDescent="0.4">
      <c r="T415" s="5"/>
      <c r="U415" s="8"/>
      <c r="V415" s="8"/>
      <c r="X415" s="5"/>
      <c r="AB415" s="5"/>
      <c r="AC415" s="8"/>
      <c r="AD415" s="8"/>
      <c r="AE415" s="8"/>
      <c r="AF415" s="8"/>
      <c r="AI415" s="9"/>
      <c r="AN415" s="9"/>
      <c r="AP415" s="8"/>
      <c r="AQ415" s="10"/>
      <c r="AR415" s="10"/>
      <c r="AS415" s="8"/>
      <c r="AT415" s="8"/>
      <c r="AU415" s="8"/>
    </row>
    <row r="416" spans="20:47" x14ac:dyDescent="0.4">
      <c r="T416" s="5"/>
      <c r="U416" s="8"/>
      <c r="V416" s="8"/>
      <c r="X416" s="5"/>
      <c r="AB416" s="5"/>
      <c r="AC416" s="8"/>
      <c r="AD416" s="8"/>
      <c r="AE416" s="8"/>
      <c r="AF416" s="8"/>
      <c r="AI416" s="9"/>
      <c r="AN416" s="9"/>
      <c r="AP416" s="8"/>
      <c r="AQ416" s="10"/>
      <c r="AR416" s="10"/>
      <c r="AS416" s="8"/>
      <c r="AT416" s="8"/>
      <c r="AU416" s="8"/>
    </row>
    <row r="417" spans="20:47" x14ac:dyDescent="0.4">
      <c r="T417" s="5"/>
      <c r="U417" s="8"/>
      <c r="V417" s="8"/>
      <c r="X417" s="5"/>
      <c r="AB417" s="5"/>
      <c r="AC417" s="8"/>
      <c r="AD417" s="8"/>
      <c r="AE417" s="8"/>
      <c r="AF417" s="8"/>
      <c r="AI417" s="9"/>
      <c r="AN417" s="9"/>
      <c r="AP417" s="8"/>
      <c r="AQ417" s="10"/>
      <c r="AR417" s="10"/>
      <c r="AS417" s="8"/>
      <c r="AT417" s="8"/>
      <c r="AU417" s="8"/>
    </row>
    <row r="418" spans="20:47" x14ac:dyDescent="0.4">
      <c r="T418" s="5"/>
      <c r="U418" s="8"/>
      <c r="V418" s="8"/>
      <c r="X418" s="5"/>
      <c r="AB418" s="5"/>
      <c r="AC418" s="8"/>
      <c r="AD418" s="8"/>
      <c r="AE418" s="8"/>
      <c r="AF418" s="8"/>
      <c r="AI418" s="9"/>
      <c r="AN418" s="9"/>
      <c r="AP418" s="8"/>
      <c r="AQ418" s="10"/>
      <c r="AR418" s="10"/>
      <c r="AS418" s="8"/>
      <c r="AT418" s="8"/>
      <c r="AU418" s="8"/>
    </row>
    <row r="419" spans="20:47" x14ac:dyDescent="0.4">
      <c r="T419" s="5"/>
      <c r="U419" s="8"/>
      <c r="V419" s="8"/>
      <c r="X419" s="5"/>
      <c r="AB419" s="5"/>
      <c r="AC419" s="8"/>
      <c r="AD419" s="8"/>
      <c r="AE419" s="8"/>
      <c r="AF419" s="8"/>
      <c r="AI419" s="9"/>
      <c r="AN419" s="9"/>
      <c r="AP419" s="8"/>
      <c r="AQ419" s="10"/>
      <c r="AR419" s="10"/>
      <c r="AS419" s="8"/>
      <c r="AT419" s="8"/>
      <c r="AU419" s="8"/>
    </row>
    <row r="420" spans="20:47" x14ac:dyDescent="0.4">
      <c r="T420" s="5"/>
      <c r="U420" s="8"/>
      <c r="V420" s="8"/>
      <c r="X420" s="5"/>
      <c r="AB420" s="5"/>
      <c r="AC420" s="8"/>
      <c r="AD420" s="8"/>
      <c r="AE420" s="8"/>
      <c r="AF420" s="8"/>
      <c r="AI420" s="9"/>
      <c r="AN420" s="9"/>
      <c r="AP420" s="8"/>
      <c r="AQ420" s="10"/>
      <c r="AR420" s="10"/>
      <c r="AS420" s="8"/>
      <c r="AT420" s="8"/>
      <c r="AU420" s="8"/>
    </row>
    <row r="421" spans="20:47" x14ac:dyDescent="0.4">
      <c r="T421" s="5"/>
      <c r="U421" s="8"/>
      <c r="V421" s="8"/>
      <c r="X421" s="5"/>
      <c r="AB421" s="5"/>
      <c r="AC421" s="8"/>
      <c r="AD421" s="8"/>
      <c r="AE421" s="8"/>
      <c r="AF421" s="8"/>
      <c r="AI421" s="9"/>
      <c r="AN421" s="9"/>
      <c r="AP421" s="8"/>
      <c r="AQ421" s="10"/>
      <c r="AR421" s="10"/>
      <c r="AS421" s="8"/>
      <c r="AT421" s="8"/>
      <c r="AU421" s="8"/>
    </row>
    <row r="422" spans="20:47" x14ac:dyDescent="0.4">
      <c r="T422" s="5"/>
      <c r="U422" s="8"/>
      <c r="V422" s="8"/>
      <c r="X422" s="5"/>
      <c r="AB422" s="5"/>
      <c r="AC422" s="8"/>
      <c r="AD422" s="8"/>
      <c r="AE422" s="8"/>
      <c r="AF422" s="8"/>
      <c r="AI422" s="9"/>
      <c r="AN422" s="9"/>
      <c r="AP422" s="8"/>
      <c r="AQ422" s="10"/>
      <c r="AR422" s="10"/>
      <c r="AS422" s="8"/>
      <c r="AT422" s="8"/>
      <c r="AU422" s="8"/>
    </row>
    <row r="423" spans="20:47" x14ac:dyDescent="0.4">
      <c r="T423" s="5"/>
      <c r="U423" s="8"/>
      <c r="V423" s="8"/>
      <c r="X423" s="5"/>
      <c r="AB423" s="5"/>
      <c r="AC423" s="8"/>
      <c r="AD423" s="8"/>
      <c r="AE423" s="8"/>
      <c r="AF423" s="8"/>
      <c r="AI423" s="9"/>
      <c r="AN423" s="9"/>
      <c r="AP423" s="8"/>
      <c r="AQ423" s="10"/>
      <c r="AR423" s="10"/>
      <c r="AS423" s="8"/>
      <c r="AT423" s="8"/>
      <c r="AU423" s="8"/>
    </row>
    <row r="424" spans="20:47" x14ac:dyDescent="0.4">
      <c r="T424" s="5"/>
      <c r="U424" s="8"/>
      <c r="V424" s="8"/>
      <c r="X424" s="5"/>
      <c r="AB424" s="5"/>
      <c r="AC424" s="8"/>
      <c r="AD424" s="8"/>
      <c r="AE424" s="8"/>
      <c r="AF424" s="8"/>
      <c r="AI424" s="9"/>
      <c r="AN424" s="9"/>
      <c r="AP424" s="8"/>
      <c r="AQ424" s="10"/>
      <c r="AR424" s="10"/>
      <c r="AS424" s="8"/>
      <c r="AT424" s="8"/>
      <c r="AU424" s="8"/>
    </row>
    <row r="425" spans="20:47" x14ac:dyDescent="0.4">
      <c r="T425" s="5"/>
      <c r="U425" s="8"/>
      <c r="V425" s="8"/>
      <c r="X425" s="5"/>
      <c r="AB425" s="5"/>
      <c r="AC425" s="8"/>
      <c r="AD425" s="8"/>
      <c r="AE425" s="8"/>
      <c r="AF425" s="8"/>
      <c r="AI425" s="9"/>
      <c r="AN425" s="9"/>
      <c r="AP425" s="8"/>
      <c r="AQ425" s="10"/>
      <c r="AR425" s="10"/>
      <c r="AS425" s="8"/>
      <c r="AT425" s="8"/>
      <c r="AU425" s="8"/>
    </row>
    <row r="426" spans="20:47" x14ac:dyDescent="0.4">
      <c r="T426" s="5"/>
      <c r="U426" s="8"/>
      <c r="V426" s="8"/>
      <c r="X426" s="5"/>
      <c r="AB426" s="5"/>
      <c r="AC426" s="8"/>
      <c r="AD426" s="8"/>
      <c r="AE426" s="8"/>
      <c r="AF426" s="8"/>
      <c r="AI426" s="9"/>
      <c r="AN426" s="9"/>
      <c r="AP426" s="8"/>
      <c r="AQ426" s="10"/>
      <c r="AR426" s="10"/>
      <c r="AS426" s="8"/>
      <c r="AT426" s="8"/>
      <c r="AU426" s="8"/>
    </row>
    <row r="427" spans="20:47" x14ac:dyDescent="0.4">
      <c r="T427" s="5"/>
      <c r="U427" s="8"/>
      <c r="V427" s="8"/>
      <c r="X427" s="5"/>
      <c r="AB427" s="5"/>
      <c r="AC427" s="8"/>
      <c r="AD427" s="8"/>
      <c r="AE427" s="8"/>
      <c r="AF427" s="8"/>
      <c r="AI427" s="9"/>
      <c r="AN427" s="9"/>
      <c r="AP427" s="8"/>
      <c r="AQ427" s="10"/>
      <c r="AR427" s="10"/>
      <c r="AS427" s="8"/>
      <c r="AT427" s="8"/>
      <c r="AU427" s="8"/>
    </row>
    <row r="428" spans="20:47" x14ac:dyDescent="0.4">
      <c r="T428" s="5"/>
      <c r="U428" s="8"/>
      <c r="V428" s="8"/>
      <c r="X428" s="5"/>
      <c r="AB428" s="5"/>
      <c r="AC428" s="8"/>
      <c r="AD428" s="8"/>
      <c r="AE428" s="8"/>
      <c r="AF428" s="8"/>
      <c r="AI428" s="9"/>
      <c r="AN428" s="9"/>
      <c r="AP428" s="8"/>
      <c r="AQ428" s="10"/>
      <c r="AR428" s="10"/>
      <c r="AS428" s="8"/>
      <c r="AT428" s="8"/>
      <c r="AU428" s="8"/>
    </row>
    <row r="429" spans="20:47" x14ac:dyDescent="0.4">
      <c r="T429" s="5"/>
      <c r="U429" s="8"/>
      <c r="V429" s="8"/>
      <c r="X429" s="5"/>
      <c r="AB429" s="5"/>
      <c r="AC429" s="8"/>
      <c r="AD429" s="8"/>
      <c r="AE429" s="8"/>
      <c r="AF429" s="8"/>
      <c r="AI429" s="9"/>
      <c r="AN429" s="9"/>
      <c r="AP429" s="8"/>
      <c r="AQ429" s="10"/>
      <c r="AR429" s="10"/>
      <c r="AS429" s="8"/>
      <c r="AT429" s="8"/>
      <c r="AU429" s="8"/>
    </row>
    <row r="430" spans="20:47" x14ac:dyDescent="0.4">
      <c r="T430" s="5"/>
      <c r="U430" s="8"/>
      <c r="V430" s="8"/>
      <c r="X430" s="5"/>
      <c r="AB430" s="5"/>
      <c r="AC430" s="8"/>
      <c r="AD430" s="8"/>
      <c r="AE430" s="8"/>
      <c r="AF430" s="8"/>
      <c r="AI430" s="9"/>
      <c r="AN430" s="9"/>
      <c r="AP430" s="8"/>
      <c r="AQ430" s="10"/>
      <c r="AR430" s="10"/>
      <c r="AS430" s="8"/>
      <c r="AT430" s="8"/>
      <c r="AU430" s="8"/>
    </row>
    <row r="431" spans="20:47" x14ac:dyDescent="0.4">
      <c r="T431" s="5"/>
      <c r="U431" s="8"/>
      <c r="V431" s="8"/>
      <c r="X431" s="5"/>
      <c r="AB431" s="5"/>
      <c r="AC431" s="8"/>
      <c r="AD431" s="8"/>
      <c r="AE431" s="8"/>
      <c r="AF431" s="8"/>
      <c r="AI431" s="9"/>
      <c r="AN431" s="9"/>
      <c r="AP431" s="8"/>
      <c r="AQ431" s="10"/>
      <c r="AR431" s="10"/>
      <c r="AS431" s="8"/>
      <c r="AT431" s="8"/>
      <c r="AU431" s="8"/>
    </row>
    <row r="432" spans="20:47" x14ac:dyDescent="0.4">
      <c r="T432" s="5"/>
      <c r="U432" s="8"/>
      <c r="V432" s="8"/>
      <c r="X432" s="5"/>
      <c r="AB432" s="5"/>
      <c r="AC432" s="8"/>
      <c r="AD432" s="8"/>
      <c r="AE432" s="8"/>
      <c r="AF432" s="8"/>
      <c r="AI432" s="9"/>
      <c r="AN432" s="9"/>
      <c r="AP432" s="8"/>
      <c r="AQ432" s="10"/>
      <c r="AR432" s="10"/>
      <c r="AS432" s="8"/>
      <c r="AT432" s="8"/>
      <c r="AU432" s="8"/>
    </row>
    <row r="433" spans="20:47" x14ac:dyDescent="0.4">
      <c r="T433" s="5"/>
      <c r="U433" s="8"/>
      <c r="V433" s="8"/>
      <c r="X433" s="5"/>
      <c r="AB433" s="5"/>
      <c r="AC433" s="8"/>
      <c r="AD433" s="8"/>
      <c r="AE433" s="8"/>
      <c r="AF433" s="8"/>
      <c r="AI433" s="9"/>
      <c r="AN433" s="9"/>
      <c r="AP433" s="8"/>
      <c r="AQ433" s="10"/>
      <c r="AR433" s="10"/>
      <c r="AS433" s="8"/>
      <c r="AT433" s="8"/>
      <c r="AU433" s="8"/>
    </row>
    <row r="434" spans="20:47" x14ac:dyDescent="0.4">
      <c r="T434" s="5"/>
      <c r="U434" s="8"/>
      <c r="V434" s="8"/>
      <c r="X434" s="5"/>
      <c r="AB434" s="5"/>
      <c r="AC434" s="8"/>
      <c r="AD434" s="8"/>
      <c r="AE434" s="8"/>
      <c r="AF434" s="8"/>
      <c r="AI434" s="9"/>
      <c r="AN434" s="9"/>
      <c r="AP434" s="8"/>
      <c r="AQ434" s="10"/>
      <c r="AR434" s="10"/>
      <c r="AS434" s="8"/>
      <c r="AT434" s="8"/>
      <c r="AU434" s="8"/>
    </row>
    <row r="435" spans="20:47" x14ac:dyDescent="0.4">
      <c r="T435" s="5"/>
      <c r="U435" s="8"/>
      <c r="V435" s="8"/>
      <c r="X435" s="5"/>
      <c r="AB435" s="5"/>
      <c r="AC435" s="8"/>
      <c r="AD435" s="8"/>
      <c r="AE435" s="8"/>
      <c r="AF435" s="8"/>
      <c r="AI435" s="9"/>
      <c r="AN435" s="9"/>
      <c r="AP435" s="8"/>
      <c r="AQ435" s="10"/>
      <c r="AR435" s="10"/>
      <c r="AS435" s="8"/>
      <c r="AT435" s="8"/>
      <c r="AU435" s="8"/>
    </row>
    <row r="436" spans="20:47" x14ac:dyDescent="0.4">
      <c r="T436" s="5"/>
      <c r="U436" s="8"/>
      <c r="V436" s="8"/>
      <c r="X436" s="5"/>
      <c r="AB436" s="5"/>
      <c r="AC436" s="8"/>
      <c r="AD436" s="8"/>
      <c r="AE436" s="8"/>
      <c r="AF436" s="8"/>
      <c r="AI436" s="9"/>
      <c r="AN436" s="9"/>
      <c r="AP436" s="8"/>
      <c r="AQ436" s="10"/>
      <c r="AR436" s="10"/>
      <c r="AS436" s="8"/>
      <c r="AT436" s="8"/>
      <c r="AU436" s="8"/>
    </row>
    <row r="437" spans="20:47" x14ac:dyDescent="0.4">
      <c r="T437" s="5"/>
      <c r="U437" s="8"/>
      <c r="V437" s="8"/>
      <c r="X437" s="5"/>
      <c r="AB437" s="5"/>
      <c r="AC437" s="8"/>
      <c r="AD437" s="8"/>
      <c r="AE437" s="8"/>
      <c r="AF437" s="8"/>
      <c r="AI437" s="9"/>
      <c r="AN437" s="9"/>
      <c r="AP437" s="8"/>
      <c r="AQ437" s="10"/>
      <c r="AR437" s="10"/>
      <c r="AS437" s="8"/>
      <c r="AT437" s="8"/>
      <c r="AU437" s="8"/>
    </row>
    <row r="438" spans="20:47" x14ac:dyDescent="0.4">
      <c r="T438" s="5"/>
      <c r="U438" s="8"/>
      <c r="V438" s="8"/>
      <c r="X438" s="5"/>
      <c r="AB438" s="5"/>
      <c r="AC438" s="8"/>
      <c r="AD438" s="8"/>
      <c r="AE438" s="8"/>
      <c r="AF438" s="8"/>
      <c r="AI438" s="9"/>
      <c r="AN438" s="9"/>
      <c r="AP438" s="8"/>
      <c r="AQ438" s="10"/>
      <c r="AR438" s="10"/>
      <c r="AS438" s="8"/>
      <c r="AT438" s="8"/>
      <c r="AU438" s="8"/>
    </row>
    <row r="439" spans="20:47" x14ac:dyDescent="0.4">
      <c r="T439" s="5"/>
      <c r="U439" s="8"/>
      <c r="V439" s="8"/>
      <c r="X439" s="5"/>
      <c r="AB439" s="5"/>
      <c r="AC439" s="8"/>
      <c r="AD439" s="8"/>
      <c r="AE439" s="8"/>
      <c r="AF439" s="8"/>
      <c r="AI439" s="9"/>
      <c r="AN439" s="9"/>
      <c r="AP439" s="8"/>
      <c r="AQ439" s="10"/>
      <c r="AR439" s="10"/>
      <c r="AS439" s="8"/>
      <c r="AT439" s="8"/>
      <c r="AU439" s="8"/>
    </row>
    <row r="440" spans="20:47" x14ac:dyDescent="0.4">
      <c r="T440" s="5"/>
      <c r="U440" s="8"/>
      <c r="V440" s="8"/>
      <c r="X440" s="5"/>
      <c r="AB440" s="5"/>
      <c r="AC440" s="8"/>
      <c r="AD440" s="8"/>
      <c r="AE440" s="8"/>
      <c r="AF440" s="8"/>
      <c r="AI440" s="9"/>
      <c r="AN440" s="9"/>
      <c r="AP440" s="8"/>
      <c r="AQ440" s="10"/>
      <c r="AR440" s="10"/>
      <c r="AS440" s="8"/>
      <c r="AT440" s="8"/>
      <c r="AU440" s="8"/>
    </row>
    <row r="441" spans="20:47" x14ac:dyDescent="0.4">
      <c r="T441" s="5"/>
      <c r="U441" s="8"/>
      <c r="V441" s="8"/>
      <c r="X441" s="5"/>
      <c r="AB441" s="5"/>
      <c r="AC441" s="8"/>
      <c r="AD441" s="8"/>
      <c r="AE441" s="8"/>
      <c r="AF441" s="8"/>
      <c r="AI441" s="9"/>
      <c r="AN441" s="9"/>
      <c r="AP441" s="8"/>
      <c r="AQ441" s="10"/>
      <c r="AR441" s="10"/>
      <c r="AS441" s="8"/>
      <c r="AT441" s="8"/>
      <c r="AU441" s="8"/>
    </row>
    <row r="442" spans="20:47" x14ac:dyDescent="0.4">
      <c r="T442" s="5"/>
      <c r="U442" s="8"/>
      <c r="V442" s="8"/>
      <c r="X442" s="5"/>
      <c r="AB442" s="5"/>
      <c r="AC442" s="8"/>
      <c r="AD442" s="8"/>
      <c r="AE442" s="8"/>
      <c r="AF442" s="8"/>
      <c r="AI442" s="9"/>
      <c r="AN442" s="9"/>
      <c r="AP442" s="8"/>
      <c r="AQ442" s="10"/>
      <c r="AR442" s="10"/>
      <c r="AS442" s="8"/>
      <c r="AT442" s="8"/>
      <c r="AU442" s="8"/>
    </row>
    <row r="443" spans="20:47" x14ac:dyDescent="0.4">
      <c r="T443" s="5"/>
      <c r="U443" s="8"/>
      <c r="V443" s="8"/>
      <c r="X443" s="5"/>
      <c r="AB443" s="5"/>
      <c r="AC443" s="8"/>
      <c r="AD443" s="8"/>
      <c r="AE443" s="8"/>
      <c r="AF443" s="8"/>
      <c r="AI443" s="9"/>
      <c r="AN443" s="9"/>
      <c r="AP443" s="8"/>
      <c r="AQ443" s="10"/>
      <c r="AR443" s="10"/>
      <c r="AS443" s="8"/>
      <c r="AT443" s="8"/>
      <c r="AU443" s="8"/>
    </row>
    <row r="444" spans="20:47" x14ac:dyDescent="0.4">
      <c r="T444" s="5"/>
      <c r="U444" s="8"/>
      <c r="V444" s="8"/>
      <c r="X444" s="5"/>
      <c r="AB444" s="5"/>
      <c r="AC444" s="8"/>
      <c r="AD444" s="8"/>
      <c r="AE444" s="8"/>
      <c r="AF444" s="8"/>
      <c r="AI444" s="9"/>
      <c r="AN444" s="9"/>
      <c r="AP444" s="8"/>
      <c r="AQ444" s="10"/>
      <c r="AR444" s="10"/>
      <c r="AS444" s="8"/>
      <c r="AT444" s="8"/>
      <c r="AU444" s="8"/>
    </row>
    <row r="445" spans="20:47" x14ac:dyDescent="0.4">
      <c r="T445" s="5"/>
      <c r="U445" s="8"/>
      <c r="V445" s="8"/>
      <c r="X445" s="5"/>
      <c r="AB445" s="5"/>
      <c r="AC445" s="8"/>
      <c r="AD445" s="8"/>
      <c r="AE445" s="8"/>
      <c r="AF445" s="8"/>
      <c r="AI445" s="9"/>
      <c r="AN445" s="9"/>
      <c r="AP445" s="8"/>
      <c r="AQ445" s="10"/>
      <c r="AR445" s="10"/>
      <c r="AS445" s="8"/>
      <c r="AT445" s="8"/>
      <c r="AU445" s="8"/>
    </row>
    <row r="446" spans="20:47" x14ac:dyDescent="0.4">
      <c r="T446" s="5"/>
      <c r="U446" s="8"/>
      <c r="V446" s="8"/>
      <c r="X446" s="5"/>
      <c r="AB446" s="5"/>
      <c r="AC446" s="8"/>
      <c r="AD446" s="8"/>
      <c r="AE446" s="8"/>
      <c r="AF446" s="8"/>
      <c r="AI446" s="9"/>
      <c r="AN446" s="9"/>
      <c r="AP446" s="8"/>
      <c r="AQ446" s="10"/>
      <c r="AR446" s="10"/>
      <c r="AS446" s="8"/>
      <c r="AT446" s="8"/>
      <c r="AU446" s="8"/>
    </row>
    <row r="447" spans="20:47" x14ac:dyDescent="0.4">
      <c r="T447" s="5"/>
      <c r="U447" s="8"/>
      <c r="V447" s="8"/>
      <c r="X447" s="5"/>
      <c r="AB447" s="5"/>
      <c r="AC447" s="8"/>
      <c r="AD447" s="8"/>
      <c r="AE447" s="8"/>
      <c r="AF447" s="8"/>
      <c r="AI447" s="9"/>
      <c r="AN447" s="9"/>
      <c r="AP447" s="8"/>
      <c r="AQ447" s="10"/>
      <c r="AR447" s="10"/>
      <c r="AS447" s="8"/>
      <c r="AT447" s="8"/>
      <c r="AU447" s="8"/>
    </row>
    <row r="448" spans="20:47" x14ac:dyDescent="0.4">
      <c r="T448" s="5"/>
      <c r="U448" s="8"/>
      <c r="V448" s="8"/>
      <c r="X448" s="5"/>
      <c r="AB448" s="5"/>
      <c r="AC448" s="8"/>
      <c r="AD448" s="8"/>
      <c r="AE448" s="8"/>
      <c r="AF448" s="8"/>
      <c r="AI448" s="9"/>
      <c r="AN448" s="9"/>
      <c r="AP448" s="8"/>
      <c r="AQ448" s="10"/>
      <c r="AR448" s="10"/>
      <c r="AS448" s="8"/>
      <c r="AT448" s="8"/>
      <c r="AU448" s="8"/>
    </row>
    <row r="449" spans="20:47" x14ac:dyDescent="0.4">
      <c r="T449" s="5"/>
      <c r="U449" s="8"/>
      <c r="V449" s="8"/>
      <c r="X449" s="5"/>
      <c r="AB449" s="5"/>
      <c r="AC449" s="8"/>
      <c r="AD449" s="8"/>
      <c r="AE449" s="8"/>
      <c r="AF449" s="8"/>
      <c r="AI449" s="9"/>
      <c r="AN449" s="9"/>
      <c r="AP449" s="8"/>
      <c r="AQ449" s="10"/>
      <c r="AR449" s="10"/>
      <c r="AS449" s="8"/>
      <c r="AT449" s="8"/>
      <c r="AU449" s="8"/>
    </row>
    <row r="450" spans="20:47" x14ac:dyDescent="0.4">
      <c r="T450" s="5"/>
      <c r="U450" s="8"/>
      <c r="V450" s="8"/>
      <c r="X450" s="5"/>
      <c r="AB450" s="5"/>
      <c r="AC450" s="8"/>
      <c r="AD450" s="8"/>
      <c r="AE450" s="8"/>
      <c r="AF450" s="8"/>
      <c r="AI450" s="9"/>
      <c r="AN450" s="9"/>
      <c r="AP450" s="8"/>
      <c r="AQ450" s="10"/>
      <c r="AR450" s="10"/>
      <c r="AS450" s="8"/>
      <c r="AT450" s="8"/>
      <c r="AU450" s="8"/>
    </row>
    <row r="451" spans="20:47" x14ac:dyDescent="0.4">
      <c r="T451" s="5"/>
      <c r="U451" s="8"/>
      <c r="V451" s="8"/>
      <c r="X451" s="5"/>
      <c r="AB451" s="5"/>
      <c r="AC451" s="8"/>
      <c r="AD451" s="8"/>
      <c r="AE451" s="8"/>
      <c r="AF451" s="8"/>
      <c r="AI451" s="9"/>
      <c r="AN451" s="9"/>
      <c r="AP451" s="8"/>
      <c r="AQ451" s="10"/>
      <c r="AR451" s="10"/>
      <c r="AS451" s="8"/>
      <c r="AT451" s="8"/>
      <c r="AU451" s="8"/>
    </row>
    <row r="452" spans="20:47" x14ac:dyDescent="0.4">
      <c r="T452" s="5"/>
      <c r="U452" s="8"/>
      <c r="V452" s="8"/>
      <c r="X452" s="5"/>
      <c r="AB452" s="5"/>
      <c r="AC452" s="8"/>
      <c r="AD452" s="8"/>
      <c r="AE452" s="8"/>
      <c r="AF452" s="8"/>
      <c r="AI452" s="9"/>
      <c r="AN452" s="9"/>
      <c r="AP452" s="8"/>
      <c r="AQ452" s="10"/>
      <c r="AR452" s="10"/>
      <c r="AS452" s="8"/>
      <c r="AT452" s="8"/>
      <c r="AU452" s="8"/>
    </row>
    <row r="453" spans="20:47" x14ac:dyDescent="0.4">
      <c r="T453" s="5"/>
      <c r="U453" s="8"/>
      <c r="V453" s="8"/>
      <c r="X453" s="5"/>
      <c r="AB453" s="5"/>
      <c r="AC453" s="8"/>
      <c r="AD453" s="8"/>
      <c r="AE453" s="8"/>
      <c r="AF453" s="8"/>
      <c r="AI453" s="9"/>
      <c r="AN453" s="9"/>
      <c r="AP453" s="8"/>
      <c r="AQ453" s="10"/>
      <c r="AR453" s="10"/>
      <c r="AS453" s="8"/>
      <c r="AT453" s="8"/>
      <c r="AU453" s="8"/>
    </row>
    <row r="454" spans="20:47" x14ac:dyDescent="0.4">
      <c r="T454" s="5"/>
      <c r="U454" s="8"/>
      <c r="V454" s="8"/>
      <c r="X454" s="5"/>
      <c r="AB454" s="5"/>
      <c r="AC454" s="8"/>
      <c r="AD454" s="8"/>
      <c r="AE454" s="8"/>
      <c r="AF454" s="8"/>
      <c r="AI454" s="9"/>
      <c r="AN454" s="9"/>
      <c r="AP454" s="8"/>
      <c r="AQ454" s="10"/>
      <c r="AR454" s="10"/>
      <c r="AS454" s="8"/>
      <c r="AT454" s="8"/>
      <c r="AU454" s="8"/>
    </row>
    <row r="455" spans="20:47" x14ac:dyDescent="0.4">
      <c r="T455" s="5"/>
      <c r="U455" s="8"/>
      <c r="V455" s="8"/>
      <c r="X455" s="5"/>
      <c r="AB455" s="5"/>
      <c r="AC455" s="8"/>
      <c r="AD455" s="8"/>
      <c r="AE455" s="8"/>
      <c r="AF455" s="8"/>
      <c r="AI455" s="9"/>
      <c r="AN455" s="9"/>
      <c r="AP455" s="8"/>
      <c r="AQ455" s="10"/>
      <c r="AR455" s="10"/>
      <c r="AS455" s="8"/>
      <c r="AT455" s="8"/>
      <c r="AU455" s="8"/>
    </row>
    <row r="456" spans="20:47" x14ac:dyDescent="0.4">
      <c r="T456" s="5"/>
      <c r="U456" s="8"/>
      <c r="V456" s="8"/>
      <c r="X456" s="5"/>
      <c r="AB456" s="5"/>
      <c r="AC456" s="8"/>
      <c r="AD456" s="8"/>
      <c r="AE456" s="8"/>
      <c r="AF456" s="8"/>
      <c r="AI456" s="9"/>
      <c r="AN456" s="9"/>
      <c r="AP456" s="8"/>
      <c r="AQ456" s="10"/>
      <c r="AR456" s="10"/>
      <c r="AS456" s="8"/>
      <c r="AT456" s="8"/>
      <c r="AU456" s="8"/>
    </row>
    <row r="457" spans="20:47" x14ac:dyDescent="0.4">
      <c r="T457" s="5"/>
      <c r="U457" s="8"/>
      <c r="V457" s="8"/>
      <c r="X457" s="5"/>
      <c r="AB457" s="5"/>
      <c r="AC457" s="8"/>
      <c r="AD457" s="8"/>
      <c r="AE457" s="8"/>
      <c r="AF457" s="8"/>
      <c r="AI457" s="9"/>
      <c r="AN457" s="9"/>
      <c r="AP457" s="8"/>
      <c r="AQ457" s="10"/>
      <c r="AR457" s="10"/>
      <c r="AS457" s="8"/>
      <c r="AT457" s="8"/>
      <c r="AU457" s="8"/>
    </row>
    <row r="458" spans="20:47" x14ac:dyDescent="0.4">
      <c r="T458" s="5"/>
      <c r="U458" s="8"/>
      <c r="V458" s="8"/>
      <c r="X458" s="5"/>
      <c r="AB458" s="5"/>
      <c r="AC458" s="8"/>
      <c r="AD458" s="8"/>
      <c r="AE458" s="8"/>
      <c r="AF458" s="8"/>
      <c r="AI458" s="9"/>
      <c r="AN458" s="9"/>
      <c r="AP458" s="8"/>
      <c r="AQ458" s="10"/>
      <c r="AR458" s="10"/>
      <c r="AS458" s="8"/>
      <c r="AT458" s="8"/>
      <c r="AU458" s="8"/>
    </row>
    <row r="459" spans="20:47" x14ac:dyDescent="0.4">
      <c r="T459" s="5"/>
      <c r="U459" s="8"/>
      <c r="V459" s="8"/>
      <c r="X459" s="5"/>
      <c r="AB459" s="5"/>
      <c r="AC459" s="8"/>
      <c r="AD459" s="8"/>
      <c r="AE459" s="8"/>
      <c r="AF459" s="8"/>
      <c r="AI459" s="9"/>
      <c r="AN459" s="9"/>
      <c r="AP459" s="8"/>
      <c r="AQ459" s="10"/>
      <c r="AR459" s="10"/>
      <c r="AS459" s="8"/>
      <c r="AT459" s="8"/>
      <c r="AU459" s="8"/>
    </row>
    <row r="460" spans="20:47" x14ac:dyDescent="0.4">
      <c r="T460" s="5"/>
      <c r="U460" s="8"/>
      <c r="V460" s="8"/>
      <c r="X460" s="5"/>
      <c r="AB460" s="5"/>
      <c r="AC460" s="8"/>
      <c r="AD460" s="8"/>
      <c r="AE460" s="8"/>
      <c r="AF460" s="8"/>
      <c r="AI460" s="9"/>
      <c r="AN460" s="9"/>
      <c r="AP460" s="8"/>
      <c r="AQ460" s="10"/>
      <c r="AR460" s="10"/>
      <c r="AS460" s="8"/>
      <c r="AT460" s="8"/>
      <c r="AU460" s="8"/>
    </row>
    <row r="461" spans="20:47" x14ac:dyDescent="0.4">
      <c r="T461" s="5"/>
      <c r="U461" s="8"/>
      <c r="V461" s="8"/>
      <c r="X461" s="5"/>
      <c r="AB461" s="5"/>
      <c r="AC461" s="8"/>
      <c r="AD461" s="8"/>
      <c r="AE461" s="8"/>
      <c r="AF461" s="8"/>
      <c r="AI461" s="9"/>
      <c r="AN461" s="9"/>
      <c r="AP461" s="8"/>
      <c r="AQ461" s="10"/>
      <c r="AR461" s="10"/>
      <c r="AS461" s="8"/>
      <c r="AT461" s="8"/>
      <c r="AU461" s="8"/>
    </row>
    <row r="462" spans="20:47" x14ac:dyDescent="0.4">
      <c r="T462" s="5"/>
      <c r="U462" s="8"/>
      <c r="V462" s="8"/>
      <c r="X462" s="5"/>
      <c r="AB462" s="5"/>
      <c r="AC462" s="8"/>
      <c r="AD462" s="8"/>
      <c r="AE462" s="8"/>
      <c r="AF462" s="8"/>
      <c r="AI462" s="9"/>
      <c r="AN462" s="9"/>
      <c r="AP462" s="8"/>
      <c r="AQ462" s="10"/>
      <c r="AR462" s="10"/>
      <c r="AS462" s="8"/>
      <c r="AT462" s="8"/>
      <c r="AU462" s="8"/>
    </row>
    <row r="463" spans="20:47" x14ac:dyDescent="0.4">
      <c r="T463" s="5"/>
      <c r="U463" s="8"/>
      <c r="V463" s="8"/>
      <c r="X463" s="5"/>
      <c r="AB463" s="5"/>
      <c r="AC463" s="8"/>
      <c r="AD463" s="8"/>
      <c r="AE463" s="8"/>
      <c r="AF463" s="8"/>
      <c r="AI463" s="9"/>
      <c r="AN463" s="9"/>
      <c r="AP463" s="8"/>
      <c r="AQ463" s="10"/>
      <c r="AR463" s="10"/>
      <c r="AS463" s="8"/>
      <c r="AT463" s="8"/>
      <c r="AU463" s="8"/>
    </row>
    <row r="464" spans="20:47" x14ac:dyDescent="0.4">
      <c r="T464" s="5"/>
      <c r="U464" s="8"/>
      <c r="V464" s="8"/>
      <c r="X464" s="5"/>
      <c r="AB464" s="5"/>
      <c r="AC464" s="8"/>
      <c r="AD464" s="8"/>
      <c r="AE464" s="8"/>
      <c r="AF464" s="8"/>
      <c r="AI464" s="9"/>
      <c r="AN464" s="9"/>
      <c r="AP464" s="8"/>
      <c r="AQ464" s="10"/>
      <c r="AR464" s="10"/>
      <c r="AS464" s="8"/>
      <c r="AT464" s="8"/>
      <c r="AU464" s="8"/>
    </row>
    <row r="465" spans="20:47" x14ac:dyDescent="0.4">
      <c r="T465" s="5"/>
      <c r="U465" s="8"/>
      <c r="V465" s="8"/>
      <c r="X465" s="5"/>
      <c r="AB465" s="5"/>
      <c r="AC465" s="8"/>
      <c r="AD465" s="8"/>
      <c r="AE465" s="8"/>
      <c r="AF465" s="8"/>
      <c r="AI465" s="9"/>
      <c r="AN465" s="9"/>
      <c r="AP465" s="8"/>
      <c r="AQ465" s="10"/>
      <c r="AR465" s="10"/>
      <c r="AS465" s="8"/>
      <c r="AT465" s="8"/>
      <c r="AU465" s="8"/>
    </row>
    <row r="466" spans="20:47" x14ac:dyDescent="0.4">
      <c r="T466" s="5"/>
      <c r="U466" s="8"/>
      <c r="V466" s="8"/>
      <c r="X466" s="5"/>
      <c r="AB466" s="5"/>
      <c r="AC466" s="8"/>
      <c r="AD466" s="8"/>
      <c r="AE466" s="8"/>
      <c r="AF466" s="8"/>
      <c r="AI466" s="9"/>
      <c r="AN466" s="9"/>
      <c r="AP466" s="8"/>
      <c r="AQ466" s="10"/>
      <c r="AR466" s="10"/>
      <c r="AS466" s="8"/>
      <c r="AT466" s="8"/>
      <c r="AU466" s="8"/>
    </row>
    <row r="467" spans="20:47" x14ac:dyDescent="0.4">
      <c r="T467" s="5"/>
      <c r="U467" s="8"/>
      <c r="V467" s="8"/>
      <c r="X467" s="5"/>
      <c r="AB467" s="5"/>
      <c r="AC467" s="8"/>
      <c r="AD467" s="8"/>
      <c r="AE467" s="8"/>
      <c r="AF467" s="8"/>
      <c r="AI467" s="9"/>
      <c r="AN467" s="9"/>
      <c r="AP467" s="8"/>
      <c r="AQ467" s="10"/>
      <c r="AR467" s="10"/>
      <c r="AS467" s="8"/>
      <c r="AT467" s="8"/>
      <c r="AU467" s="8"/>
    </row>
    <row r="468" spans="20:47" x14ac:dyDescent="0.4">
      <c r="T468" s="5"/>
      <c r="U468" s="8"/>
      <c r="V468" s="8"/>
      <c r="X468" s="5"/>
      <c r="AB468" s="5"/>
      <c r="AC468" s="8"/>
      <c r="AD468" s="8"/>
      <c r="AE468" s="8"/>
      <c r="AF468" s="8"/>
      <c r="AI468" s="9"/>
      <c r="AN468" s="9"/>
      <c r="AP468" s="8"/>
      <c r="AQ468" s="10"/>
      <c r="AR468" s="10"/>
      <c r="AS468" s="8"/>
      <c r="AT468" s="8"/>
      <c r="AU468" s="8"/>
    </row>
    <row r="469" spans="20:47" x14ac:dyDescent="0.4">
      <c r="T469" s="5"/>
      <c r="U469" s="8"/>
      <c r="V469" s="8"/>
      <c r="X469" s="5"/>
      <c r="AB469" s="5"/>
      <c r="AC469" s="8"/>
      <c r="AD469" s="8"/>
      <c r="AE469" s="8"/>
      <c r="AF469" s="8"/>
      <c r="AI469" s="9"/>
      <c r="AN469" s="9"/>
      <c r="AP469" s="8"/>
      <c r="AQ469" s="10"/>
      <c r="AR469" s="10"/>
      <c r="AS469" s="8"/>
      <c r="AT469" s="8"/>
      <c r="AU469" s="8"/>
    </row>
    <row r="470" spans="20:47" x14ac:dyDescent="0.4">
      <c r="T470" s="5"/>
      <c r="U470" s="8"/>
      <c r="V470" s="8"/>
      <c r="X470" s="5"/>
      <c r="AB470" s="5"/>
      <c r="AC470" s="8"/>
      <c r="AD470" s="8"/>
      <c r="AE470" s="8"/>
      <c r="AF470" s="8"/>
      <c r="AI470" s="9"/>
      <c r="AN470" s="9"/>
      <c r="AP470" s="8"/>
      <c r="AQ470" s="10"/>
      <c r="AR470" s="10"/>
      <c r="AS470" s="8"/>
      <c r="AT470" s="8"/>
      <c r="AU470" s="8"/>
    </row>
  </sheetData>
  <mergeCells count="11">
    <mergeCell ref="AV2:AW2"/>
    <mergeCell ref="A1:B1"/>
    <mergeCell ref="T2:X2"/>
    <mergeCell ref="Y2:AF2"/>
    <mergeCell ref="AG2:AL2"/>
    <mergeCell ref="AM2:AU2"/>
    <mergeCell ref="AY2:BC2"/>
    <mergeCell ref="BD2:BK2"/>
    <mergeCell ref="BL2:BQ2"/>
    <mergeCell ref="BR2:BZ2"/>
    <mergeCell ref="CA2:CB2"/>
  </mergeCells>
  <pageMargins left="0.7" right="0.7" top="0.75" bottom="0.75" header="0.3" footer="0.3"/>
  <pageSetup paperSize="9" orientation="portrait" horizontalDpi="4294967293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25D6-C3DC-484A-8596-1CF9430304DC}">
  <dimension ref="A1:CD470"/>
  <sheetViews>
    <sheetView topLeftCell="R1" zoomScale="40" zoomScaleNormal="40" workbookViewId="0">
      <pane ySplit="4" topLeftCell="A37" activePane="bottomLeft" state="frozen"/>
      <selection activeCell="I1" sqref="I1"/>
      <selection pane="bottomLeft" activeCell="AW105" sqref="AW105"/>
    </sheetView>
  </sheetViews>
  <sheetFormatPr defaultColWidth="9.15234375" defaultRowHeight="14.6" x14ac:dyDescent="0.4"/>
  <cols>
    <col min="1" max="1" width="12.15234375" style="21" customWidth="1"/>
    <col min="2" max="2" width="10.84375" style="21" customWidth="1"/>
    <col min="3" max="3" width="18" style="21" customWidth="1"/>
    <col min="4" max="4" width="11" style="21" customWidth="1"/>
    <col min="5" max="5" width="12.15234375" style="21" customWidth="1"/>
    <col min="6" max="6" width="12.84375" style="21" customWidth="1"/>
    <col min="7" max="7" width="17.53515625" style="21" customWidth="1"/>
    <col min="8" max="8" width="20.53515625" style="21" customWidth="1"/>
    <col min="9" max="9" width="26.53515625" style="21" customWidth="1"/>
    <col min="10" max="10" width="21.15234375" style="21" customWidth="1"/>
    <col min="11" max="11" width="28.15234375" style="21" customWidth="1"/>
    <col min="12" max="12" width="15.53515625" style="21" customWidth="1"/>
    <col min="13" max="13" width="12.84375" style="21" customWidth="1"/>
    <col min="14" max="14" width="17" style="21" customWidth="1"/>
    <col min="15" max="15" width="15.69140625" style="21" customWidth="1"/>
    <col min="16" max="16" width="13.15234375" style="21" customWidth="1"/>
    <col min="17" max="17" width="16.84375" style="3" customWidth="1"/>
    <col min="18" max="19" width="20.53515625" style="3" customWidth="1"/>
    <col min="20" max="20" width="11.53515625" style="3" customWidth="1"/>
    <col min="21" max="21" width="15" style="3" customWidth="1"/>
    <col min="22" max="22" width="16.84375" style="3" customWidth="1"/>
    <col min="23" max="23" width="17.3046875" style="3" customWidth="1"/>
    <col min="24" max="24" width="19.15234375" style="3" customWidth="1"/>
    <col min="25" max="25" width="17.53515625" style="3" customWidth="1"/>
    <col min="26" max="26" width="16.84375" style="3" customWidth="1"/>
    <col min="27" max="27" width="17.84375" style="3" customWidth="1"/>
    <col min="28" max="28" width="11.3828125" style="3" customWidth="1"/>
    <col min="29" max="30" width="19.3046875" style="3" customWidth="1"/>
    <col min="31" max="32" width="13.15234375" style="3" customWidth="1"/>
    <col min="33" max="33" width="14.53515625" style="3" customWidth="1"/>
    <col min="34" max="34" width="13.69140625" style="3" customWidth="1"/>
    <col min="35" max="35" width="11.53515625" style="3" customWidth="1"/>
    <col min="36" max="36" width="15.69140625" style="3" customWidth="1"/>
    <col min="37" max="37" width="16.84375" style="3" customWidth="1"/>
    <col min="38" max="38" width="11" style="3" customWidth="1"/>
    <col min="39" max="39" width="14.53515625" style="3" customWidth="1"/>
    <col min="40" max="40" width="16.3828125" style="3" customWidth="1"/>
    <col min="41" max="41" width="17.3046875" style="3" customWidth="1"/>
    <col min="42" max="42" width="21" style="3" customWidth="1"/>
    <col min="43" max="43" width="13.3046875" style="3" customWidth="1"/>
    <col min="44" max="44" width="12.53515625" style="3" customWidth="1"/>
    <col min="45" max="46" width="23.15234375" style="3" customWidth="1"/>
    <col min="47" max="47" width="15.3828125" style="3" customWidth="1"/>
    <col min="48" max="48" width="18.3046875" style="3" customWidth="1"/>
    <col min="49" max="49" width="17.84375" style="3" customWidth="1"/>
    <col min="50" max="50" width="12.3046875" style="3" customWidth="1"/>
    <col min="51" max="51" width="12.84375" style="3" customWidth="1"/>
    <col min="52" max="52" width="16.3828125" style="3" customWidth="1"/>
    <col min="53" max="53" width="18.3046875" style="3" customWidth="1"/>
    <col min="54" max="54" width="18.69140625" style="3" customWidth="1"/>
    <col min="55" max="55" width="20.3828125" style="3" customWidth="1"/>
    <col min="56" max="56" width="11.53515625" style="3" customWidth="1"/>
    <col min="57" max="57" width="18.3046875" style="3" customWidth="1"/>
    <col min="58" max="58" width="20.3046875" style="3" customWidth="1"/>
    <col min="59" max="59" width="11" style="3" customWidth="1"/>
    <col min="60" max="61" width="21.53515625" style="3" customWidth="1"/>
    <col min="62" max="63" width="15.3828125" style="3" customWidth="1"/>
    <col min="64" max="64" width="16.84375" style="3" customWidth="1"/>
    <col min="65" max="65" width="16" style="3" customWidth="1"/>
    <col min="66" max="66" width="13.84375" style="3" customWidth="1"/>
    <col min="67" max="67" width="18.15234375" style="3" customWidth="1"/>
    <col min="68" max="68" width="19.53515625" style="3" customWidth="1"/>
    <col min="69" max="69" width="13.3046875" style="3" customWidth="1"/>
    <col min="70" max="70" width="17.3046875" style="3" customWidth="1"/>
    <col min="71" max="71" width="19.15234375" style="3" customWidth="1"/>
    <col min="72" max="72" width="20" style="3" customWidth="1"/>
    <col min="73" max="73" width="23.69140625" style="3" customWidth="1"/>
    <col min="74" max="74" width="16" style="3" customWidth="1"/>
    <col min="75" max="75" width="15.3046875" style="3" customWidth="1"/>
    <col min="76" max="77" width="25.69140625" style="3" customWidth="1"/>
    <col min="78" max="79" width="18.15234375" style="3" customWidth="1"/>
    <col min="80" max="81" width="20.53515625" style="3" customWidth="1"/>
    <col min="82" max="82" width="39.53515625" style="3" customWidth="1"/>
    <col min="83" max="16384" width="9.15234375" style="3"/>
  </cols>
  <sheetData>
    <row r="1" spans="1:82" ht="29.25" customHeight="1" x14ac:dyDescent="0.55000000000000004">
      <c r="A1" s="138" t="s">
        <v>132</v>
      </c>
      <c r="B1" s="138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 t="s">
        <v>145</v>
      </c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42"/>
      <c r="AW1" s="42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 t="s">
        <v>280</v>
      </c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120"/>
      <c r="CB1" s="42"/>
      <c r="CC1" s="42"/>
    </row>
    <row r="2" spans="1:82" ht="29.25" customHeight="1" x14ac:dyDescent="0.5500000000000000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6"/>
      <c r="R2" s="26"/>
      <c r="S2" s="45"/>
      <c r="T2" s="139"/>
      <c r="U2" s="139"/>
      <c r="V2" s="139"/>
      <c r="W2" s="139"/>
      <c r="X2" s="139"/>
      <c r="Y2" s="135" t="s">
        <v>103</v>
      </c>
      <c r="Z2" s="136"/>
      <c r="AA2" s="136"/>
      <c r="AB2" s="136"/>
      <c r="AC2" s="136"/>
      <c r="AD2" s="136"/>
      <c r="AE2" s="136"/>
      <c r="AF2" s="137"/>
      <c r="AG2" s="136" t="s">
        <v>106</v>
      </c>
      <c r="AH2" s="136"/>
      <c r="AI2" s="136"/>
      <c r="AJ2" s="136"/>
      <c r="AK2" s="136"/>
      <c r="AL2" s="136"/>
      <c r="AM2" s="136" t="s">
        <v>108</v>
      </c>
      <c r="AN2" s="136"/>
      <c r="AO2" s="136"/>
      <c r="AP2" s="136"/>
      <c r="AQ2" s="136"/>
      <c r="AR2" s="136"/>
      <c r="AS2" s="136"/>
      <c r="AT2" s="136"/>
      <c r="AU2" s="136"/>
      <c r="AV2" s="133" t="s">
        <v>116</v>
      </c>
      <c r="AW2" s="134"/>
      <c r="AX2" s="45"/>
      <c r="AY2" s="139"/>
      <c r="AZ2" s="139"/>
      <c r="BA2" s="139"/>
      <c r="BB2" s="139"/>
      <c r="BC2" s="139"/>
      <c r="BD2" s="135" t="s">
        <v>103</v>
      </c>
      <c r="BE2" s="136"/>
      <c r="BF2" s="136"/>
      <c r="BG2" s="136"/>
      <c r="BH2" s="136"/>
      <c r="BI2" s="136"/>
      <c r="BJ2" s="136"/>
      <c r="BK2" s="137"/>
      <c r="BL2" s="136" t="s">
        <v>106</v>
      </c>
      <c r="BM2" s="136"/>
      <c r="BN2" s="136"/>
      <c r="BO2" s="136"/>
      <c r="BP2" s="136"/>
      <c r="BQ2" s="136"/>
      <c r="BR2" s="136" t="s">
        <v>108</v>
      </c>
      <c r="BS2" s="136"/>
      <c r="BT2" s="136"/>
      <c r="BU2" s="136"/>
      <c r="BV2" s="136"/>
      <c r="BW2" s="136"/>
      <c r="BX2" s="136"/>
      <c r="BY2" s="136"/>
      <c r="BZ2" s="136"/>
      <c r="CA2" s="56"/>
      <c r="CB2" s="133" t="s">
        <v>116</v>
      </c>
      <c r="CC2" s="134"/>
    </row>
    <row r="3" spans="1:82" s="21" customFormat="1" ht="135" customHeight="1" x14ac:dyDescent="0.4">
      <c r="A3" s="26" t="s">
        <v>117</v>
      </c>
      <c r="B3" s="26" t="s">
        <v>104</v>
      </c>
      <c r="C3" s="26" t="s">
        <v>105</v>
      </c>
      <c r="D3" s="26" t="s">
        <v>119</v>
      </c>
      <c r="E3" s="26" t="s">
        <v>118</v>
      </c>
      <c r="F3" s="26" t="s">
        <v>97</v>
      </c>
      <c r="G3" s="26" t="s">
        <v>120</v>
      </c>
      <c r="H3" s="26" t="s">
        <v>155</v>
      </c>
      <c r="I3" s="37" t="s">
        <v>156</v>
      </c>
      <c r="J3" s="37" t="s">
        <v>124</v>
      </c>
      <c r="K3" s="37" t="s">
        <v>151</v>
      </c>
      <c r="L3" s="26" t="s">
        <v>125</v>
      </c>
      <c r="M3" s="26" t="s">
        <v>126</v>
      </c>
      <c r="N3" s="26" t="s">
        <v>127</v>
      </c>
      <c r="O3" s="26" t="s">
        <v>129</v>
      </c>
      <c r="P3" s="26" t="s">
        <v>133</v>
      </c>
      <c r="Q3" s="26" t="s">
        <v>134</v>
      </c>
      <c r="R3" s="26" t="s">
        <v>135</v>
      </c>
      <c r="S3" s="11" t="s">
        <v>136</v>
      </c>
      <c r="T3" s="11" t="s">
        <v>0</v>
      </c>
      <c r="U3" s="11" t="s">
        <v>1</v>
      </c>
      <c r="V3" s="11" t="s">
        <v>2</v>
      </c>
      <c r="W3" s="11" t="s">
        <v>3</v>
      </c>
      <c r="X3" s="11" t="s">
        <v>4</v>
      </c>
      <c r="Y3" s="15" t="s">
        <v>5</v>
      </c>
      <c r="Z3" s="15" t="s">
        <v>6</v>
      </c>
      <c r="AA3" s="15" t="s">
        <v>7</v>
      </c>
      <c r="AB3" s="16" t="s">
        <v>8</v>
      </c>
      <c r="AC3" s="13" t="s">
        <v>9</v>
      </c>
      <c r="AD3" s="13" t="s">
        <v>10</v>
      </c>
      <c r="AE3" s="13" t="s">
        <v>11</v>
      </c>
      <c r="AF3" s="13" t="s">
        <v>12</v>
      </c>
      <c r="AG3" s="7" t="s">
        <v>107</v>
      </c>
      <c r="AH3" s="7" t="s">
        <v>109</v>
      </c>
      <c r="AI3" s="7" t="s">
        <v>13</v>
      </c>
      <c r="AJ3" s="7" t="s">
        <v>14</v>
      </c>
      <c r="AK3" s="7" t="s">
        <v>15</v>
      </c>
      <c r="AL3" s="19" t="s">
        <v>16</v>
      </c>
      <c r="AM3" s="19" t="s">
        <v>17</v>
      </c>
      <c r="AN3" s="19" t="s">
        <v>18</v>
      </c>
      <c r="AO3" s="19" t="s">
        <v>19</v>
      </c>
      <c r="AP3" s="19" t="s">
        <v>20</v>
      </c>
      <c r="AQ3" s="19" t="s">
        <v>142</v>
      </c>
      <c r="AR3" s="19" t="s">
        <v>143</v>
      </c>
      <c r="AS3" s="19" t="s">
        <v>23</v>
      </c>
      <c r="AT3" s="19" t="s">
        <v>24</v>
      </c>
      <c r="AU3" s="19" t="s">
        <v>25</v>
      </c>
      <c r="AV3" s="40" t="s">
        <v>112</v>
      </c>
      <c r="AW3" s="40" t="s">
        <v>113</v>
      </c>
      <c r="AX3" s="11" t="s">
        <v>136</v>
      </c>
      <c r="AY3" s="11" t="s">
        <v>0</v>
      </c>
      <c r="AZ3" s="11" t="s">
        <v>1</v>
      </c>
      <c r="BA3" s="11" t="s">
        <v>2</v>
      </c>
      <c r="BB3" s="11" t="s">
        <v>3</v>
      </c>
      <c r="BC3" s="11" t="s">
        <v>4</v>
      </c>
      <c r="BD3" s="15" t="s">
        <v>5</v>
      </c>
      <c r="BE3" s="15" t="s">
        <v>6</v>
      </c>
      <c r="BF3" s="15" t="s">
        <v>7</v>
      </c>
      <c r="BG3" s="16" t="s">
        <v>8</v>
      </c>
      <c r="BH3" s="13" t="s">
        <v>9</v>
      </c>
      <c r="BI3" s="13" t="s">
        <v>10</v>
      </c>
      <c r="BJ3" s="13" t="s">
        <v>11</v>
      </c>
      <c r="BK3" s="13" t="s">
        <v>12</v>
      </c>
      <c r="BL3" s="7" t="s">
        <v>107</v>
      </c>
      <c r="BM3" s="7" t="s">
        <v>109</v>
      </c>
      <c r="BN3" s="7" t="s">
        <v>13</v>
      </c>
      <c r="BO3" s="7" t="s">
        <v>14</v>
      </c>
      <c r="BP3" s="7" t="s">
        <v>15</v>
      </c>
      <c r="BQ3" s="19" t="s">
        <v>16</v>
      </c>
      <c r="BR3" s="19" t="s">
        <v>17</v>
      </c>
      <c r="BS3" s="19" t="s">
        <v>18</v>
      </c>
      <c r="BT3" s="19" t="s">
        <v>19</v>
      </c>
      <c r="BU3" s="19" t="s">
        <v>20</v>
      </c>
      <c r="BV3" s="19" t="s">
        <v>142</v>
      </c>
      <c r="BW3" s="19" t="s">
        <v>143</v>
      </c>
      <c r="BX3" s="19" t="s">
        <v>23</v>
      </c>
      <c r="BY3" s="19" t="s">
        <v>24</v>
      </c>
      <c r="BZ3" s="19" t="s">
        <v>25</v>
      </c>
      <c r="CA3" s="19"/>
      <c r="CB3" s="40" t="s">
        <v>112</v>
      </c>
      <c r="CC3" s="40" t="s">
        <v>113</v>
      </c>
      <c r="CD3" s="40" t="s">
        <v>268</v>
      </c>
    </row>
    <row r="4" spans="1:82" s="1" customFormat="1" ht="46.5" customHeight="1" thickBot="1" x14ac:dyDescent="0.45">
      <c r="A4" s="25" t="s">
        <v>93</v>
      </c>
      <c r="B4" s="98" t="s">
        <v>122</v>
      </c>
      <c r="C4" s="46" t="s">
        <v>121</v>
      </c>
      <c r="D4" s="46" t="s">
        <v>95</v>
      </c>
      <c r="E4" s="46" t="s">
        <v>96</v>
      </c>
      <c r="F4" s="46" t="s">
        <v>97</v>
      </c>
      <c r="G4" s="46" t="s">
        <v>101</v>
      </c>
      <c r="H4" s="46" t="s">
        <v>157</v>
      </c>
      <c r="I4" s="46" t="s">
        <v>153</v>
      </c>
      <c r="J4" s="46" t="s">
        <v>123</v>
      </c>
      <c r="K4" s="46" t="s">
        <v>152</v>
      </c>
      <c r="L4" s="46" t="s">
        <v>98</v>
      </c>
      <c r="M4" s="46" t="s">
        <v>99</v>
      </c>
      <c r="N4" s="46" t="s">
        <v>128</v>
      </c>
      <c r="O4" s="46" t="s">
        <v>102</v>
      </c>
      <c r="P4" s="46" t="s">
        <v>92</v>
      </c>
      <c r="Q4" s="46" t="s">
        <v>51</v>
      </c>
      <c r="R4" s="46" t="s">
        <v>52</v>
      </c>
      <c r="S4" s="47" t="s">
        <v>100</v>
      </c>
      <c r="T4" s="99" t="s">
        <v>50</v>
      </c>
      <c r="U4" s="99" t="s">
        <v>47</v>
      </c>
      <c r="V4" s="99" t="s">
        <v>48</v>
      </c>
      <c r="W4" s="99" t="s">
        <v>49</v>
      </c>
      <c r="X4" s="99" t="s">
        <v>26</v>
      </c>
      <c r="Y4" s="100" t="s">
        <v>5</v>
      </c>
      <c r="Z4" s="100" t="s">
        <v>27</v>
      </c>
      <c r="AA4" s="100" t="s">
        <v>28</v>
      </c>
      <c r="AB4" s="101" t="s">
        <v>29</v>
      </c>
      <c r="AC4" s="102" t="s">
        <v>46</v>
      </c>
      <c r="AD4" s="102" t="s">
        <v>45</v>
      </c>
      <c r="AE4" s="102" t="s">
        <v>30</v>
      </c>
      <c r="AF4" s="102" t="s">
        <v>31</v>
      </c>
      <c r="AG4" s="103" t="s">
        <v>130</v>
      </c>
      <c r="AH4" s="103" t="s">
        <v>131</v>
      </c>
      <c r="AI4" s="103" t="s">
        <v>42</v>
      </c>
      <c r="AJ4" s="103" t="s">
        <v>41</v>
      </c>
      <c r="AK4" s="103" t="s">
        <v>40</v>
      </c>
      <c r="AL4" s="104" t="s">
        <v>39</v>
      </c>
      <c r="AM4" s="104" t="s">
        <v>38</v>
      </c>
      <c r="AN4" s="104" t="s">
        <v>44</v>
      </c>
      <c r="AO4" s="104" t="s">
        <v>32</v>
      </c>
      <c r="AP4" s="104" t="s">
        <v>37</v>
      </c>
      <c r="AQ4" s="104" t="s">
        <v>36</v>
      </c>
      <c r="AR4" s="104" t="s">
        <v>43</v>
      </c>
      <c r="AS4" s="104" t="s">
        <v>35</v>
      </c>
      <c r="AT4" s="104" t="s">
        <v>34</v>
      </c>
      <c r="AU4" s="104" t="s">
        <v>295</v>
      </c>
      <c r="AV4" s="105" t="s">
        <v>114</v>
      </c>
      <c r="AW4" s="105" t="s">
        <v>115</v>
      </c>
      <c r="AX4" s="47" t="s">
        <v>161</v>
      </c>
      <c r="AY4" s="99" t="s">
        <v>162</v>
      </c>
      <c r="AZ4" s="99" t="s">
        <v>163</v>
      </c>
      <c r="BA4" s="99" t="s">
        <v>164</v>
      </c>
      <c r="BB4" s="99" t="s">
        <v>165</v>
      </c>
      <c r="BC4" s="99" t="s">
        <v>166</v>
      </c>
      <c r="BD4" s="100" t="s">
        <v>167</v>
      </c>
      <c r="BE4" s="100" t="s">
        <v>168</v>
      </c>
      <c r="BF4" s="100" t="s">
        <v>169</v>
      </c>
      <c r="BG4" s="101" t="s">
        <v>170</v>
      </c>
      <c r="BH4" s="102" t="s">
        <v>171</v>
      </c>
      <c r="BI4" s="102" t="s">
        <v>172</v>
      </c>
      <c r="BJ4" s="102" t="s">
        <v>173</v>
      </c>
      <c r="BK4" s="102" t="s">
        <v>174</v>
      </c>
      <c r="BL4" s="103" t="s">
        <v>175</v>
      </c>
      <c r="BM4" s="103" t="s">
        <v>176</v>
      </c>
      <c r="BN4" s="103" t="s">
        <v>177</v>
      </c>
      <c r="BO4" s="103" t="s">
        <v>178</v>
      </c>
      <c r="BP4" s="103" t="s">
        <v>179</v>
      </c>
      <c r="BQ4" s="104" t="s">
        <v>180</v>
      </c>
      <c r="BR4" s="104" t="s">
        <v>181</v>
      </c>
      <c r="BS4" s="104" t="s">
        <v>182</v>
      </c>
      <c r="BT4" s="104" t="s">
        <v>183</v>
      </c>
      <c r="BU4" s="104" t="s">
        <v>184</v>
      </c>
      <c r="BV4" s="104" t="s">
        <v>185</v>
      </c>
      <c r="BW4" s="104" t="s">
        <v>186</v>
      </c>
      <c r="BX4" s="104" t="s">
        <v>187</v>
      </c>
      <c r="BY4" s="104" t="s">
        <v>188</v>
      </c>
      <c r="BZ4" s="104" t="s">
        <v>282</v>
      </c>
      <c r="CA4" s="104" t="s">
        <v>281</v>
      </c>
      <c r="CB4" s="105" t="s">
        <v>189</v>
      </c>
      <c r="CC4" s="105" t="s">
        <v>190</v>
      </c>
      <c r="CD4" s="105" t="s">
        <v>269</v>
      </c>
    </row>
    <row r="5" spans="1:82" s="2" customFormat="1" ht="14.15" customHeight="1" thickBot="1" x14ac:dyDescent="0.45">
      <c r="A5" s="21">
        <v>100</v>
      </c>
      <c r="B5" s="21" t="s">
        <v>94</v>
      </c>
      <c r="C5" s="21">
        <v>112.282453</v>
      </c>
      <c r="D5" s="21">
        <v>620213.9</v>
      </c>
      <c r="E5" s="21">
        <v>6082124.7000000002</v>
      </c>
      <c r="F5" s="21">
        <v>828.2</v>
      </c>
      <c r="G5" s="21">
        <v>14</v>
      </c>
      <c r="H5" s="21">
        <v>0</v>
      </c>
      <c r="I5" s="21">
        <v>57.7</v>
      </c>
      <c r="J5" s="21">
        <v>0</v>
      </c>
      <c r="K5" s="21">
        <v>100</v>
      </c>
      <c r="L5" s="21">
        <v>3.5</v>
      </c>
      <c r="M5" s="21">
        <v>100</v>
      </c>
      <c r="N5" s="21">
        <v>0</v>
      </c>
      <c r="O5" s="35">
        <v>5</v>
      </c>
      <c r="P5" s="21">
        <v>90</v>
      </c>
      <c r="Q5" s="4">
        <v>781.16</v>
      </c>
      <c r="R5" s="4">
        <v>30.899999619999999</v>
      </c>
      <c r="S5" s="107">
        <f>IF(H5=1,($K5*$L5)*($M5/100),($I5*$L5)*($M5/100))</f>
        <v>201.95000000000002</v>
      </c>
      <c r="T5" s="108">
        <f t="shared" ref="T5" si="0">(-1.5+6.51)/(1+EXP(0.94-5.3*SIN(RADIANS($G5))))</f>
        <v>2.9294544238463396</v>
      </c>
      <c r="U5" s="109">
        <f t="shared" ref="U5" si="1">2.67*$P5+84.69*T5</f>
        <v>488.39549515554648</v>
      </c>
      <c r="V5" s="109">
        <f t="shared" ref="V5" si="2">U5*$Q5</f>
        <v>381515.02499570668</v>
      </c>
      <c r="W5" s="106">
        <f t="shared" ref="W5" si="3">V5*(100*100)</f>
        <v>3815150249.957067</v>
      </c>
      <c r="X5" s="108">
        <f t="shared" ref="X5" si="4">W5/(1000*1000*1000)</f>
        <v>3.8151502499570671</v>
      </c>
      <c r="Y5" s="106">
        <f>0.5</f>
        <v>0.5</v>
      </c>
      <c r="Z5" s="106">
        <f t="shared" ref="Z5" si="5">11.74</f>
        <v>11.74</v>
      </c>
      <c r="AA5" s="106">
        <f t="shared" ref="AA5" si="6">336/1000</f>
        <v>0.33600000000000002</v>
      </c>
      <c r="AB5" s="108">
        <f>(($S5)*($R5-Z5)*Y5/1000)</f>
        <v>1.9346809616295002</v>
      </c>
      <c r="AC5" s="109">
        <f>IF(AB5-($C5*AA5/5)&gt;0,AB5-($C5*AA5/5),0)</f>
        <v>0</v>
      </c>
      <c r="AD5" s="109">
        <f>IF((AF5-$C5)/AF5*AB5&gt;0,(AF5-$C5)/AF5*AB5,0)</f>
        <v>0</v>
      </c>
      <c r="AE5" s="109">
        <f>5*AB5/AA5</f>
        <v>28.789895262343752</v>
      </c>
      <c r="AF5" s="109">
        <f>AE5*3</f>
        <v>86.369685787031258</v>
      </c>
      <c r="AG5" s="106">
        <f>IFERROR(IF(AJ5&lt;AK5,0,1),"")</f>
        <v>0</v>
      </c>
      <c r="AH5" s="106">
        <f>1</f>
        <v>1</v>
      </c>
      <c r="AI5" s="110">
        <f>$O5</f>
        <v>5</v>
      </c>
      <c r="AJ5" s="106">
        <f>S5</f>
        <v>201.95000000000002</v>
      </c>
      <c r="AK5" s="106">
        <f>IFERROR(70/SIN(RADIANS(AI5)),"")</f>
        <v>803.15992719688995</v>
      </c>
      <c r="AL5" s="106">
        <f>IF(AH5=1,AD5,AC5)</f>
        <v>0</v>
      </c>
      <c r="AM5" s="111">
        <f>AJ5/(100*100)</f>
        <v>2.0195000000000001E-2</v>
      </c>
      <c r="AN5" s="110">
        <f>AM5*X5</f>
        <v>7.704695929788298E-2</v>
      </c>
      <c r="AO5" s="106">
        <f t="shared" ref="AO5" si="7">AN5*1000*1000</f>
        <v>77046.959297882975</v>
      </c>
      <c r="AP5" s="109">
        <f>AO5/(AB5*1000)</f>
        <v>39.824116133850602</v>
      </c>
      <c r="AQ5" s="112">
        <f>$C5/AF5*100</f>
        <v>130.00215524329215</v>
      </c>
      <c r="AR5" s="112">
        <f>($C5/AE5)*100</f>
        <v>390.00646572987642</v>
      </c>
      <c r="AS5" s="109">
        <f>AP5*EXP(-0.0156*AQ5)</f>
        <v>5.2406159545508908</v>
      </c>
      <c r="AT5" s="109">
        <f t="shared" ref="AT5" si="8">AP5*EXP(-0.0156*AR5)</f>
        <v>9.0751688169847161E-2</v>
      </c>
      <c r="AU5" s="109">
        <f>IF(AH5=1,AS5*AD5,AT5*AC5)</f>
        <v>0</v>
      </c>
      <c r="AV5" s="109">
        <f>IF(($C5-AE5)&gt;0,($C5-AE5),0)</f>
        <v>83.492557737656256</v>
      </c>
      <c r="AW5" s="109">
        <f>IF(($C5-AF5)&gt;0,($C5-AF5),0)</f>
        <v>25.912767212968745</v>
      </c>
      <c r="AX5" s="107">
        <f>IF(H5=1,($K5*$L5)*($M5/100),($I5*$L5)*($M5/100))</f>
        <v>201.95000000000002</v>
      </c>
      <c r="AY5" s="108">
        <f t="shared" ref="AY5" si="9">(-1.5+6.51)/(1+EXP(0.94-5.3*SIN(RADIANS($G5))))</f>
        <v>2.9294544238463396</v>
      </c>
      <c r="AZ5" s="109">
        <f t="shared" ref="AZ5" si="10">2.67*$P5+84.69*AY5</f>
        <v>488.39549515554648</v>
      </c>
      <c r="BA5" s="109">
        <f t="shared" ref="BA5" si="11">AZ5*$Q5</f>
        <v>381515.02499570668</v>
      </c>
      <c r="BB5" s="106">
        <f t="shared" ref="BB5" si="12">BA5*(100*100)</f>
        <v>3815150249.957067</v>
      </c>
      <c r="BC5" s="108">
        <f t="shared" ref="BC5" si="13">BB5/(1000*1000*1000)</f>
        <v>3.8151502499570671</v>
      </c>
      <c r="BD5" s="106">
        <f>0.5</f>
        <v>0.5</v>
      </c>
      <c r="BE5" s="106">
        <f t="shared" ref="BE5" si="14">11.74</f>
        <v>11.74</v>
      </c>
      <c r="BF5" s="106">
        <f t="shared" ref="BF5" si="15">336/1000</f>
        <v>0.33600000000000002</v>
      </c>
      <c r="BG5" s="108">
        <f>(($S5)*($R5-BE5)*BD5/1000)</f>
        <v>1.9346809616295002</v>
      </c>
      <c r="BH5" s="109">
        <f>IF(BG5-($C5*BF5/5)&gt;0,BG5-($C5*BF5/5),0)</f>
        <v>0</v>
      </c>
      <c r="BI5" s="109">
        <f>IF((BK5-$C5)/BK5*BG5&gt;0,(BK5-$C5)/BK5*BG5,0)</f>
        <v>0</v>
      </c>
      <c r="BJ5" s="109">
        <f>5*BG5/BF5</f>
        <v>28.789895262343752</v>
      </c>
      <c r="BK5" s="109">
        <f>BJ5*3</f>
        <v>86.369685787031258</v>
      </c>
      <c r="BL5" s="106">
        <f>IFERROR(IF(BO5&lt;BP5,0,1),"")</f>
        <v>0</v>
      </c>
      <c r="BM5" s="106">
        <f>0</f>
        <v>0</v>
      </c>
      <c r="BN5" s="110">
        <f>$O5</f>
        <v>5</v>
      </c>
      <c r="BO5" s="106">
        <f>AX5</f>
        <v>201.95000000000002</v>
      </c>
      <c r="BP5" s="106">
        <f>IFERROR(70/SIN(RADIANS(BN5)),"")</f>
        <v>803.15992719688995</v>
      </c>
      <c r="BQ5" s="106">
        <f>IF(BM5=1,BI5,BH5)</f>
        <v>0</v>
      </c>
      <c r="BR5" s="111">
        <f>BO5/(100*100)</f>
        <v>2.0195000000000001E-2</v>
      </c>
      <c r="BS5" s="110">
        <f>BR5*BC5</f>
        <v>7.704695929788298E-2</v>
      </c>
      <c r="BT5" s="106">
        <f t="shared" ref="BT5" si="16">BS5*1000*1000</f>
        <v>77046.959297882975</v>
      </c>
      <c r="BU5" s="109">
        <f>BT5/(BG5*1000)</f>
        <v>39.824116133850602</v>
      </c>
      <c r="BV5" s="112">
        <f>$C5/BK5*100</f>
        <v>130.00215524329215</v>
      </c>
      <c r="BW5" s="112">
        <f>($C5/BJ5)*100</f>
        <v>390.00646572987642</v>
      </c>
      <c r="BX5" s="109">
        <f>BU5*EXP(-0.0156*BV5)</f>
        <v>5.2406159545508908</v>
      </c>
      <c r="BY5" s="109">
        <f t="shared" ref="BY5" si="17">BU5*EXP(-0.0156*BW5)</f>
        <v>9.0751688169847161E-2</v>
      </c>
      <c r="BZ5" s="109">
        <f>IF(BM5=1,BX5*BI5,BY5*BH5)</f>
        <v>0</v>
      </c>
      <c r="CA5" s="109">
        <f>Table2[[#This Row],[sed_del_kg_gullied]]-Table2[[#This Row],[sed_del_kg_no_gully]]</f>
        <v>0</v>
      </c>
      <c r="CB5" s="109">
        <f>IF(($C5-BJ5)&gt;0,($C5-BJ5),0)</f>
        <v>83.492557737656256</v>
      </c>
      <c r="CC5" s="109">
        <f>IF(($C5-BK5)&gt;0,($C5-BK5),0)</f>
        <v>25.912767212968745</v>
      </c>
      <c r="CD5" s="109">
        <f>IF(Gullying!$BM5=1,Gullying!$CC5,Gullying!$CB5)</f>
        <v>83.492557737656256</v>
      </c>
    </row>
    <row r="6" spans="1:82" s="2" customFormat="1" x14ac:dyDescent="0.4">
      <c r="A6" s="21">
        <v>91</v>
      </c>
      <c r="B6" s="21" t="s">
        <v>94</v>
      </c>
      <c r="C6" s="21">
        <v>61.332389999999997</v>
      </c>
      <c r="D6" s="21">
        <v>619988.69999999995</v>
      </c>
      <c r="E6" s="21">
        <v>6082088.5</v>
      </c>
      <c r="F6" s="21">
        <v>828.3</v>
      </c>
      <c r="G6" s="21">
        <v>2</v>
      </c>
      <c r="H6" s="21">
        <v>0</v>
      </c>
      <c r="I6" s="21">
        <v>19.29</v>
      </c>
      <c r="J6" s="21">
        <v>0</v>
      </c>
      <c r="K6" s="21">
        <v>100</v>
      </c>
      <c r="L6" s="21">
        <v>3.1</v>
      </c>
      <c r="M6" s="21">
        <v>100</v>
      </c>
      <c r="N6" s="21">
        <v>1</v>
      </c>
      <c r="O6" s="35">
        <v>13</v>
      </c>
      <c r="P6" s="21">
        <v>90</v>
      </c>
      <c r="Q6" s="4">
        <v>781.16</v>
      </c>
      <c r="R6" s="4">
        <v>30.899999619999999</v>
      </c>
      <c r="S6" s="107">
        <f t="shared" ref="S6:S51" si="18">IF(H6=1,($K6*$L6)*($M6/100),($I6*$L6)*($M6/100))</f>
        <v>59.798999999999999</v>
      </c>
      <c r="T6" s="61">
        <f t="shared" ref="T6:T51" si="19">(-1.5+6.51)/(1+EXP(0.94-5.3*SIN(RADIANS($G6))))</f>
        <v>1.6018257472049382</v>
      </c>
      <c r="U6" s="62">
        <f t="shared" ref="U6:U51" si="20">2.67*$P6+84.69*T6</f>
        <v>375.95862253078622</v>
      </c>
      <c r="V6" s="62">
        <f t="shared" ref="V6:V51" si="21">U6*$Q6</f>
        <v>293683.83757614897</v>
      </c>
      <c r="W6" s="58">
        <f t="shared" ref="W6:W51" si="22">V6*(100*100)</f>
        <v>2936838375.7614899</v>
      </c>
      <c r="X6" s="61">
        <f t="shared" ref="X6:X51" si="23">W6/(1000*1000*1000)</f>
        <v>2.9368383757614898</v>
      </c>
      <c r="Y6" s="58">
        <f t="shared" ref="Y6:Y51" si="24">0.5</f>
        <v>0.5</v>
      </c>
      <c r="Z6" s="58">
        <f t="shared" ref="Z6:Z51" si="25">11.74</f>
        <v>11.74</v>
      </c>
      <c r="AA6" s="58">
        <f t="shared" ref="AA6:AA51" si="26">336/1000</f>
        <v>0.33600000000000002</v>
      </c>
      <c r="AB6" s="61">
        <f t="shared" ref="AB6:AB51" si="27">(($S6)*($R6-Z6)*Y6/1000)</f>
        <v>0.57287440863819006</v>
      </c>
      <c r="AC6" s="62">
        <f t="shared" ref="AC6:AC51" si="28">IF(AB6-($C6*AA6/5)&gt;0,AB6-($C6*AA6/5),0)</f>
        <v>0</v>
      </c>
      <c r="AD6" s="62">
        <f t="shared" ref="AD6:AD51" si="29">IF((AF6-$C6)/AF6*AB6&gt;0,(AF6-$C6)/AF6*AB6,0)</f>
        <v>0</v>
      </c>
      <c r="AE6" s="62">
        <f t="shared" ref="AE6:AE51" si="30">5*AB6/AA6</f>
        <v>8.5249167952111602</v>
      </c>
      <c r="AF6" s="62">
        <f t="shared" ref="AF6:AF51" si="31">AE6*3</f>
        <v>25.574750385633479</v>
      </c>
      <c r="AG6" s="58">
        <f t="shared" ref="AG6:AG51" si="32">IFERROR(IF(AJ6&lt;AK6,0,1),"")</f>
        <v>0</v>
      </c>
      <c r="AH6" s="58">
        <f>1</f>
        <v>1</v>
      </c>
      <c r="AI6" s="63">
        <f t="shared" ref="AI6:AI51" si="33">$O6</f>
        <v>13</v>
      </c>
      <c r="AJ6" s="58">
        <f t="shared" ref="AJ6:AJ51" si="34">S6</f>
        <v>59.798999999999999</v>
      </c>
      <c r="AK6" s="58">
        <f t="shared" ref="AK6:AK51" si="35">IFERROR(70/SIN(RADIANS(AI6)),"")</f>
        <v>311.17880378100608</v>
      </c>
      <c r="AL6" s="58">
        <f t="shared" ref="AL6:AL51" si="36">IF(AH6=1,AD6,AC6)</f>
        <v>0</v>
      </c>
      <c r="AM6" s="111">
        <f t="shared" ref="AM6:AM51" si="37">AJ6/(100*100)</f>
        <v>5.9798999999999998E-3</v>
      </c>
      <c r="AN6" s="63">
        <f t="shared" ref="AN6:AN51" si="38">AM6*X6</f>
        <v>1.7561999803216131E-2</v>
      </c>
      <c r="AO6" s="58">
        <f t="shared" ref="AO6:AO51" si="39">AN6*1000*1000</f>
        <v>17561.999803216131</v>
      </c>
      <c r="AP6" s="62">
        <f t="shared" ref="AP6:AP51" si="40">AO6/(AB6*1000)</f>
        <v>30.655933549141576</v>
      </c>
      <c r="AQ6" s="65">
        <f t="shared" ref="AQ6:AQ51" si="41">$C6/AF6*100</f>
        <v>239.81618227035847</v>
      </c>
      <c r="AR6" s="65">
        <f t="shared" ref="AR6:AR51" si="42">($C6/AE6)*100</f>
        <v>719.44854681107552</v>
      </c>
      <c r="AS6" s="62">
        <f t="shared" ref="AS6:AS51" si="43">AP6*EXP(-0.0156*AQ6)</f>
        <v>0.72738002381029199</v>
      </c>
      <c r="AT6" s="62">
        <f t="shared" ref="AT6:AT51" si="44">AP6*EXP(-0.0156*AR6)</f>
        <v>4.0950104773767839E-4</v>
      </c>
      <c r="AU6" s="62">
        <f t="shared" ref="AU6:AU51" si="45">IF(AH6=1,AS6*AD6,AT6*AC6)</f>
        <v>0</v>
      </c>
      <c r="AV6" s="62">
        <f t="shared" ref="AV6:AV51" si="46">IF(($C6-AE6)&gt;0,($C6-AE6),0)</f>
        <v>52.807473204788835</v>
      </c>
      <c r="AW6" s="62">
        <f t="shared" ref="AW6:AW51" si="47">IF(($C6-AF6)&gt;0,($C6-AF6),0)</f>
        <v>35.757639614366518</v>
      </c>
      <c r="AX6" s="107">
        <f t="shared" ref="AX6:AX51" si="48">IF(H6=1,($K6*$L6)*($M6/100),($I6*$L6)*($M6/100))</f>
        <v>59.798999999999999</v>
      </c>
      <c r="AY6" s="61">
        <f t="shared" ref="AY6:AY51" si="49">(-1.5+6.51)/(1+EXP(0.94-5.3*SIN(RADIANS($G6))))</f>
        <v>1.6018257472049382</v>
      </c>
      <c r="AZ6" s="62">
        <f t="shared" ref="AZ6:AZ51" si="50">2.67*$P6+84.69*AY6</f>
        <v>375.95862253078622</v>
      </c>
      <c r="BA6" s="62">
        <f t="shared" ref="BA6:BA51" si="51">AZ6*$Q6</f>
        <v>293683.83757614897</v>
      </c>
      <c r="BB6" s="58">
        <f t="shared" ref="BB6:BB51" si="52">BA6*(100*100)</f>
        <v>2936838375.7614899</v>
      </c>
      <c r="BC6" s="61">
        <f t="shared" ref="BC6:BC51" si="53">BB6/(1000*1000*1000)</f>
        <v>2.9368383757614898</v>
      </c>
      <c r="BD6" s="58">
        <f t="shared" ref="BD6:BD51" si="54">0.5</f>
        <v>0.5</v>
      </c>
      <c r="BE6" s="58">
        <f t="shared" ref="BE6:BE51" si="55">11.74</f>
        <v>11.74</v>
      </c>
      <c r="BF6" s="58">
        <f t="shared" ref="BF6:BF51" si="56">336/1000</f>
        <v>0.33600000000000002</v>
      </c>
      <c r="BG6" s="61">
        <f t="shared" ref="BG6:BG51" si="57">(($S6)*($R6-BE6)*BD6/1000)</f>
        <v>0.57287440863819006</v>
      </c>
      <c r="BH6" s="62">
        <f t="shared" ref="BH6:BH51" si="58">IF(BG6-($C6*BF6/5)&gt;0,BG6-($C6*BF6/5),0)</f>
        <v>0</v>
      </c>
      <c r="BI6" s="62">
        <f t="shared" ref="BI6:BI51" si="59">IF((BK6-$C6)/BK6*BG6&gt;0,(BK6-$C6)/BK6*BG6,0)</f>
        <v>0</v>
      </c>
      <c r="BJ6" s="62">
        <f t="shared" ref="BJ6:BJ51" si="60">5*BG6/BF6</f>
        <v>8.5249167952111602</v>
      </c>
      <c r="BK6" s="62">
        <f t="shared" ref="BK6:BK51" si="61">BJ6*3</f>
        <v>25.574750385633479</v>
      </c>
      <c r="BL6" s="58">
        <f t="shared" ref="BL6:BL51" si="62">IFERROR(IF(BO6&lt;BP6,0,1),"")</f>
        <v>0</v>
      </c>
      <c r="BM6" s="58">
        <f>0</f>
        <v>0</v>
      </c>
      <c r="BN6" s="63">
        <f t="shared" ref="BN6:BN51" si="63">$O6</f>
        <v>13</v>
      </c>
      <c r="BO6" s="58">
        <f t="shared" ref="BO6:BO51" si="64">AX6</f>
        <v>59.798999999999999</v>
      </c>
      <c r="BP6" s="58">
        <f t="shared" ref="BP6:BP51" si="65">IFERROR(70/SIN(RADIANS(BN6)),"")</f>
        <v>311.17880378100608</v>
      </c>
      <c r="BQ6" s="58">
        <f t="shared" ref="BQ6:BQ51" si="66">IF(BM6=1,BI6,BH6)</f>
        <v>0</v>
      </c>
      <c r="BR6" s="111">
        <f t="shared" ref="BR6:BR51" si="67">BO6/(100*100)</f>
        <v>5.9798999999999998E-3</v>
      </c>
      <c r="BS6" s="63">
        <f t="shared" ref="BS6:BS51" si="68">BR6*BC6</f>
        <v>1.7561999803216131E-2</v>
      </c>
      <c r="BT6" s="58">
        <f t="shared" ref="BT6:BT51" si="69">BS6*1000*1000</f>
        <v>17561.999803216131</v>
      </c>
      <c r="BU6" s="62">
        <f t="shared" ref="BU6:BU51" si="70">BT6/(BG6*1000)</f>
        <v>30.655933549141576</v>
      </c>
      <c r="BV6" s="65">
        <f t="shared" ref="BV6:BV51" si="71">$C6/BK6*100</f>
        <v>239.81618227035847</v>
      </c>
      <c r="BW6" s="65">
        <f t="shared" ref="BW6:BW51" si="72">($C6/BJ6)*100</f>
        <v>719.44854681107552</v>
      </c>
      <c r="BX6" s="62">
        <f t="shared" ref="BX6:BX51" si="73">BU6*EXP(-0.0156*BV6)</f>
        <v>0.72738002381029199</v>
      </c>
      <c r="BY6" s="62">
        <f t="shared" ref="BY6:BY51" si="74">BU6*EXP(-0.0156*BW6)</f>
        <v>4.0950104773767839E-4</v>
      </c>
      <c r="BZ6" s="62">
        <f t="shared" ref="BZ6:BZ51" si="75">IF(BM6=1,BX6*BI6,BY6*BH6)</f>
        <v>0</v>
      </c>
      <c r="CA6" s="62">
        <f>Table2[[#This Row],[sed_del_kg_gullied]]-Table2[[#This Row],[sed_del_kg_no_gully]]</f>
        <v>0</v>
      </c>
      <c r="CB6" s="62">
        <f t="shared" ref="CB6:CB51" si="76">IF(($C6-BJ6)&gt;0,($C6-BJ6),0)</f>
        <v>52.807473204788835</v>
      </c>
      <c r="CC6" s="62">
        <f t="shared" ref="CC6:CC51" si="77">IF(($C6-BK6)&gt;0,($C6-BK6),0)</f>
        <v>35.757639614366518</v>
      </c>
      <c r="CD6" s="62">
        <f>IF(Gullying!$BM6=1,Gullying!$CC6,Gullying!$CB6)</f>
        <v>52.807473204788835</v>
      </c>
    </row>
    <row r="7" spans="1:82" s="2" customFormat="1" x14ac:dyDescent="0.4">
      <c r="A7" s="21">
        <v>98</v>
      </c>
      <c r="B7" s="21" t="s">
        <v>94</v>
      </c>
      <c r="C7" s="21">
        <v>103.495987</v>
      </c>
      <c r="D7" s="21">
        <v>620124.19999999995</v>
      </c>
      <c r="E7" s="21">
        <v>6082077.4000000004</v>
      </c>
      <c r="F7" s="21">
        <v>830.6</v>
      </c>
      <c r="G7" s="21">
        <v>8</v>
      </c>
      <c r="H7" s="21">
        <v>0</v>
      </c>
      <c r="I7" s="21">
        <v>48.57</v>
      </c>
      <c r="J7" s="21">
        <v>0</v>
      </c>
      <c r="K7" s="21">
        <v>100</v>
      </c>
      <c r="L7" s="21">
        <v>3.8</v>
      </c>
      <c r="M7" s="21">
        <v>100</v>
      </c>
      <c r="N7" s="21">
        <v>0</v>
      </c>
      <c r="O7" s="35">
        <v>7</v>
      </c>
      <c r="P7" s="21">
        <v>90</v>
      </c>
      <c r="Q7" s="4">
        <v>781.16</v>
      </c>
      <c r="R7" s="4">
        <v>30.899999619999999</v>
      </c>
      <c r="S7" s="107">
        <f t="shared" si="18"/>
        <v>184.566</v>
      </c>
      <c r="T7" s="90">
        <f t="shared" si="19"/>
        <v>2.2523775068692409</v>
      </c>
      <c r="U7" s="91">
        <f t="shared" si="20"/>
        <v>431.053851056756</v>
      </c>
      <c r="V7" s="91">
        <f t="shared" si="21"/>
        <v>336722.02629149548</v>
      </c>
      <c r="W7" s="87">
        <f t="shared" si="22"/>
        <v>3367220262.9149547</v>
      </c>
      <c r="X7" s="90">
        <f t="shared" si="23"/>
        <v>3.3672202629149548</v>
      </c>
      <c r="Y7" s="87">
        <f t="shared" si="24"/>
        <v>0.5</v>
      </c>
      <c r="Z7" s="87">
        <f t="shared" si="25"/>
        <v>11.74</v>
      </c>
      <c r="AA7" s="87">
        <f t="shared" si="26"/>
        <v>0.33600000000000002</v>
      </c>
      <c r="AB7" s="90">
        <f t="shared" si="27"/>
        <v>1.76814224493246</v>
      </c>
      <c r="AC7" s="91">
        <f t="shared" si="28"/>
        <v>0</v>
      </c>
      <c r="AD7" s="91">
        <f t="shared" si="29"/>
        <v>0</v>
      </c>
      <c r="AE7" s="91">
        <f t="shared" si="30"/>
        <v>26.311640549590177</v>
      </c>
      <c r="AF7" s="91">
        <f t="shared" si="31"/>
        <v>78.934921648770526</v>
      </c>
      <c r="AG7" s="87">
        <f t="shared" si="32"/>
        <v>0</v>
      </c>
      <c r="AH7" s="87">
        <f>1</f>
        <v>1</v>
      </c>
      <c r="AI7" s="92">
        <f t="shared" si="33"/>
        <v>7</v>
      </c>
      <c r="AJ7" s="87">
        <f t="shared" si="34"/>
        <v>184.566</v>
      </c>
      <c r="AK7" s="87">
        <f t="shared" si="35"/>
        <v>574.38563336875552</v>
      </c>
      <c r="AL7" s="87">
        <f t="shared" si="36"/>
        <v>0</v>
      </c>
      <c r="AM7" s="111">
        <f t="shared" si="37"/>
        <v>1.84566E-2</v>
      </c>
      <c r="AN7" s="92">
        <f t="shared" si="38"/>
        <v>6.2147437504516158E-2</v>
      </c>
      <c r="AO7" s="87">
        <f t="shared" si="39"/>
        <v>62147.437504516158</v>
      </c>
      <c r="AP7" s="91">
        <f t="shared" si="40"/>
        <v>35.148437679509257</v>
      </c>
      <c r="AQ7" s="93">
        <f t="shared" si="41"/>
        <v>131.11558843437712</v>
      </c>
      <c r="AR7" s="93">
        <f t="shared" si="42"/>
        <v>393.34676530313129</v>
      </c>
      <c r="AS7" s="91">
        <f t="shared" si="43"/>
        <v>4.5456784501629954</v>
      </c>
      <c r="AT7" s="91">
        <f t="shared" si="44"/>
        <v>7.602984117666442E-2</v>
      </c>
      <c r="AU7" s="91">
        <f t="shared" si="45"/>
        <v>0</v>
      </c>
      <c r="AV7" s="91">
        <f t="shared" si="46"/>
        <v>77.184346450409819</v>
      </c>
      <c r="AW7" s="91">
        <f t="shared" si="47"/>
        <v>24.561065351229473</v>
      </c>
      <c r="AX7" s="107">
        <f t="shared" si="48"/>
        <v>184.566</v>
      </c>
      <c r="AY7" s="90">
        <f t="shared" si="49"/>
        <v>2.2523775068692409</v>
      </c>
      <c r="AZ7" s="91">
        <f t="shared" si="50"/>
        <v>431.053851056756</v>
      </c>
      <c r="BA7" s="91">
        <f t="shared" si="51"/>
        <v>336722.02629149548</v>
      </c>
      <c r="BB7" s="87">
        <f t="shared" si="52"/>
        <v>3367220262.9149547</v>
      </c>
      <c r="BC7" s="90">
        <f t="shared" si="53"/>
        <v>3.3672202629149548</v>
      </c>
      <c r="BD7" s="87">
        <f t="shared" si="54"/>
        <v>0.5</v>
      </c>
      <c r="BE7" s="87">
        <f t="shared" si="55"/>
        <v>11.74</v>
      </c>
      <c r="BF7" s="87">
        <f t="shared" si="56"/>
        <v>0.33600000000000002</v>
      </c>
      <c r="BG7" s="90">
        <f t="shared" si="57"/>
        <v>1.76814224493246</v>
      </c>
      <c r="BH7" s="91">
        <f t="shared" si="58"/>
        <v>0</v>
      </c>
      <c r="BI7" s="91">
        <f t="shared" si="59"/>
        <v>0</v>
      </c>
      <c r="BJ7" s="91">
        <f t="shared" si="60"/>
        <v>26.311640549590177</v>
      </c>
      <c r="BK7" s="91">
        <f t="shared" si="61"/>
        <v>78.934921648770526</v>
      </c>
      <c r="BL7" s="87">
        <f t="shared" si="62"/>
        <v>0</v>
      </c>
      <c r="BM7" s="87">
        <f>0</f>
        <v>0</v>
      </c>
      <c r="BN7" s="92">
        <f t="shared" si="63"/>
        <v>7</v>
      </c>
      <c r="BO7" s="87">
        <f t="shared" si="64"/>
        <v>184.566</v>
      </c>
      <c r="BP7" s="87">
        <f t="shared" si="65"/>
        <v>574.38563336875552</v>
      </c>
      <c r="BQ7" s="87">
        <f t="shared" si="66"/>
        <v>0</v>
      </c>
      <c r="BR7" s="111">
        <f t="shared" si="67"/>
        <v>1.84566E-2</v>
      </c>
      <c r="BS7" s="92">
        <f t="shared" si="68"/>
        <v>6.2147437504516158E-2</v>
      </c>
      <c r="BT7" s="87">
        <f t="shared" si="69"/>
        <v>62147.437504516158</v>
      </c>
      <c r="BU7" s="91">
        <f t="shared" si="70"/>
        <v>35.148437679509257</v>
      </c>
      <c r="BV7" s="93">
        <f t="shared" si="71"/>
        <v>131.11558843437712</v>
      </c>
      <c r="BW7" s="93">
        <f t="shared" si="72"/>
        <v>393.34676530313129</v>
      </c>
      <c r="BX7" s="91">
        <f t="shared" si="73"/>
        <v>4.5456784501629954</v>
      </c>
      <c r="BY7" s="91">
        <f t="shared" si="74"/>
        <v>7.602984117666442E-2</v>
      </c>
      <c r="BZ7" s="91">
        <f t="shared" si="75"/>
        <v>0</v>
      </c>
      <c r="CA7" s="91">
        <f>Table2[[#This Row],[sed_del_kg_gullied]]-Table2[[#This Row],[sed_del_kg_no_gully]]</f>
        <v>0</v>
      </c>
      <c r="CB7" s="91">
        <f t="shared" si="76"/>
        <v>77.184346450409819</v>
      </c>
      <c r="CC7" s="91">
        <f t="shared" si="77"/>
        <v>24.561065351229473</v>
      </c>
      <c r="CD7" s="91">
        <f>IF(Gullying!$BM7=1,Gullying!$CC7,Gullying!$CB7)</f>
        <v>77.184346450409819</v>
      </c>
    </row>
    <row r="8" spans="1:82" s="2" customFormat="1" x14ac:dyDescent="0.4">
      <c r="A8" s="21">
        <v>56</v>
      </c>
      <c r="B8" s="21" t="s">
        <v>94</v>
      </c>
      <c r="C8" s="21">
        <v>29.886575000000001</v>
      </c>
      <c r="D8" s="21">
        <v>619330</v>
      </c>
      <c r="E8" s="21">
        <v>6081096.7999999998</v>
      </c>
      <c r="F8" s="21">
        <v>720.4</v>
      </c>
      <c r="G8" s="21">
        <v>11</v>
      </c>
      <c r="H8" s="21">
        <v>0</v>
      </c>
      <c r="I8" s="21">
        <v>31.4</v>
      </c>
      <c r="J8" s="21">
        <v>0</v>
      </c>
      <c r="K8" s="21">
        <v>100</v>
      </c>
      <c r="L8" s="21">
        <v>3.2</v>
      </c>
      <c r="M8" s="21">
        <v>100</v>
      </c>
      <c r="N8" s="21">
        <v>1</v>
      </c>
      <c r="O8" s="35">
        <v>11</v>
      </c>
      <c r="P8" s="21">
        <v>90</v>
      </c>
      <c r="Q8" s="4">
        <v>781.16</v>
      </c>
      <c r="R8" s="4">
        <v>30.899999619999999</v>
      </c>
      <c r="S8" s="107">
        <f t="shared" si="18"/>
        <v>100.48</v>
      </c>
      <c r="T8" s="90">
        <f t="shared" si="19"/>
        <v>2.5942500198766076</v>
      </c>
      <c r="U8" s="91">
        <f t="shared" si="20"/>
        <v>460.0070341833499</v>
      </c>
      <c r="V8" s="91">
        <f t="shared" si="21"/>
        <v>359339.09482266562</v>
      </c>
      <c r="W8" s="87">
        <f t="shared" si="22"/>
        <v>3593390948.226656</v>
      </c>
      <c r="X8" s="90">
        <f t="shared" si="23"/>
        <v>3.5933909482266562</v>
      </c>
      <c r="Y8" s="87">
        <f t="shared" si="24"/>
        <v>0.5</v>
      </c>
      <c r="Z8" s="87">
        <f t="shared" si="25"/>
        <v>11.74</v>
      </c>
      <c r="AA8" s="87">
        <f t="shared" si="26"/>
        <v>0.33600000000000002</v>
      </c>
      <c r="AB8" s="90">
        <f t="shared" si="27"/>
        <v>0.96259838090880012</v>
      </c>
      <c r="AC8" s="91">
        <f t="shared" si="28"/>
        <v>0</v>
      </c>
      <c r="AD8" s="91">
        <f t="shared" si="29"/>
        <v>0.29313910090880019</v>
      </c>
      <c r="AE8" s="91">
        <f t="shared" si="30"/>
        <v>14.324380668285716</v>
      </c>
      <c r="AF8" s="91">
        <f t="shared" si="31"/>
        <v>42.973142004857152</v>
      </c>
      <c r="AG8" s="87">
        <f t="shared" si="32"/>
        <v>0</v>
      </c>
      <c r="AH8" s="87">
        <f>1</f>
        <v>1</v>
      </c>
      <c r="AI8" s="92">
        <f t="shared" si="33"/>
        <v>11</v>
      </c>
      <c r="AJ8" s="87">
        <f t="shared" si="34"/>
        <v>100.48</v>
      </c>
      <c r="AK8" s="87">
        <f t="shared" si="35"/>
        <v>366.85901449174941</v>
      </c>
      <c r="AL8" s="87">
        <f t="shared" si="36"/>
        <v>0.29313910090880019</v>
      </c>
      <c r="AM8" s="111">
        <f t="shared" si="37"/>
        <v>1.0048E-2</v>
      </c>
      <c r="AN8" s="92">
        <f t="shared" si="38"/>
        <v>3.6106392247781442E-2</v>
      </c>
      <c r="AO8" s="87">
        <f t="shared" si="39"/>
        <v>36106.392247781441</v>
      </c>
      <c r="AP8" s="91">
        <f t="shared" si="40"/>
        <v>37.509300829794647</v>
      </c>
      <c r="AQ8" s="93">
        <f t="shared" si="41"/>
        <v>69.547102226367329</v>
      </c>
      <c r="AR8" s="93">
        <f t="shared" si="42"/>
        <v>208.641306679102</v>
      </c>
      <c r="AS8" s="91">
        <f t="shared" si="43"/>
        <v>12.675286206546872</v>
      </c>
      <c r="AT8" s="91">
        <f t="shared" si="44"/>
        <v>1.4474227195933804</v>
      </c>
      <c r="AU8" s="91">
        <f t="shared" si="45"/>
        <v>3.7156220023488666</v>
      </c>
      <c r="AV8" s="91">
        <f t="shared" si="46"/>
        <v>15.562194331714284</v>
      </c>
      <c r="AW8" s="91">
        <f t="shared" si="47"/>
        <v>0</v>
      </c>
      <c r="AX8" s="107">
        <f t="shared" si="48"/>
        <v>100.48</v>
      </c>
      <c r="AY8" s="90">
        <f t="shared" si="49"/>
        <v>2.5942500198766076</v>
      </c>
      <c r="AZ8" s="91">
        <f t="shared" si="50"/>
        <v>460.0070341833499</v>
      </c>
      <c r="BA8" s="91">
        <f t="shared" si="51"/>
        <v>359339.09482266562</v>
      </c>
      <c r="BB8" s="87">
        <f t="shared" si="52"/>
        <v>3593390948.226656</v>
      </c>
      <c r="BC8" s="90">
        <f t="shared" si="53"/>
        <v>3.5933909482266562</v>
      </c>
      <c r="BD8" s="87">
        <f t="shared" si="54"/>
        <v>0.5</v>
      </c>
      <c r="BE8" s="87">
        <f t="shared" si="55"/>
        <v>11.74</v>
      </c>
      <c r="BF8" s="87">
        <f t="shared" si="56"/>
        <v>0.33600000000000002</v>
      </c>
      <c r="BG8" s="90">
        <f t="shared" si="57"/>
        <v>0.96259838090880012</v>
      </c>
      <c r="BH8" s="91">
        <f t="shared" si="58"/>
        <v>0</v>
      </c>
      <c r="BI8" s="91">
        <f t="shared" si="59"/>
        <v>0.29313910090880019</v>
      </c>
      <c r="BJ8" s="91">
        <f t="shared" si="60"/>
        <v>14.324380668285716</v>
      </c>
      <c r="BK8" s="91">
        <f t="shared" si="61"/>
        <v>42.973142004857152</v>
      </c>
      <c r="BL8" s="87">
        <f t="shared" si="62"/>
        <v>0</v>
      </c>
      <c r="BM8" s="87">
        <f>0</f>
        <v>0</v>
      </c>
      <c r="BN8" s="92">
        <f t="shared" si="63"/>
        <v>11</v>
      </c>
      <c r="BO8" s="87">
        <f t="shared" si="64"/>
        <v>100.48</v>
      </c>
      <c r="BP8" s="87">
        <f t="shared" si="65"/>
        <v>366.85901449174941</v>
      </c>
      <c r="BQ8" s="87">
        <f t="shared" si="66"/>
        <v>0</v>
      </c>
      <c r="BR8" s="111">
        <f t="shared" si="67"/>
        <v>1.0048E-2</v>
      </c>
      <c r="BS8" s="92">
        <f t="shared" si="68"/>
        <v>3.6106392247781442E-2</v>
      </c>
      <c r="BT8" s="87">
        <f t="shared" si="69"/>
        <v>36106.392247781441</v>
      </c>
      <c r="BU8" s="91">
        <f t="shared" si="70"/>
        <v>37.509300829794647</v>
      </c>
      <c r="BV8" s="93">
        <f t="shared" si="71"/>
        <v>69.547102226367329</v>
      </c>
      <c r="BW8" s="93">
        <f t="shared" si="72"/>
        <v>208.641306679102</v>
      </c>
      <c r="BX8" s="91">
        <f t="shared" si="73"/>
        <v>12.675286206546872</v>
      </c>
      <c r="BY8" s="91">
        <f t="shared" si="74"/>
        <v>1.4474227195933804</v>
      </c>
      <c r="BZ8" s="91">
        <f t="shared" si="75"/>
        <v>0</v>
      </c>
      <c r="CA8" s="91">
        <f>Table2[[#This Row],[sed_del_kg_gullied]]-Table2[[#This Row],[sed_del_kg_no_gully]]</f>
        <v>3.7156220023488666</v>
      </c>
      <c r="CB8" s="91">
        <f t="shared" si="76"/>
        <v>15.562194331714284</v>
      </c>
      <c r="CC8" s="91">
        <f t="shared" si="77"/>
        <v>0</v>
      </c>
      <c r="CD8" s="91">
        <f>IF(Gullying!$BM8=1,Gullying!$CC8,Gullying!$CB8)</f>
        <v>15.562194331714284</v>
      </c>
    </row>
    <row r="9" spans="1:82" s="2" customFormat="1" x14ac:dyDescent="0.4">
      <c r="A9" s="21">
        <v>59</v>
      </c>
      <c r="B9" s="21" t="s">
        <v>94</v>
      </c>
      <c r="C9" s="21">
        <v>117.807294</v>
      </c>
      <c r="D9" s="21">
        <v>619441.4</v>
      </c>
      <c r="E9" s="21">
        <v>6081181.7999999998</v>
      </c>
      <c r="F9" s="21">
        <v>730.2</v>
      </c>
      <c r="G9" s="21">
        <v>12</v>
      </c>
      <c r="H9" s="21">
        <v>0</v>
      </c>
      <c r="I9" s="21">
        <v>77.89</v>
      </c>
      <c r="J9" s="21">
        <v>0</v>
      </c>
      <c r="K9" s="21">
        <v>100</v>
      </c>
      <c r="L9" s="21">
        <v>2.8</v>
      </c>
      <c r="M9" s="21">
        <v>100</v>
      </c>
      <c r="N9" s="21">
        <v>0</v>
      </c>
      <c r="O9" s="35">
        <v>12</v>
      </c>
      <c r="P9" s="21">
        <v>90</v>
      </c>
      <c r="Q9" s="4">
        <v>781.16</v>
      </c>
      <c r="R9" s="4">
        <v>30.899999619999999</v>
      </c>
      <c r="S9" s="107">
        <f t="shared" si="18"/>
        <v>218.09199999999998</v>
      </c>
      <c r="T9" s="90">
        <f t="shared" si="19"/>
        <v>2.7073777462862987</v>
      </c>
      <c r="U9" s="91">
        <f t="shared" si="20"/>
        <v>469.58782133298661</v>
      </c>
      <c r="V9" s="91">
        <f t="shared" si="21"/>
        <v>366823.2225124758</v>
      </c>
      <c r="W9" s="87">
        <f t="shared" si="22"/>
        <v>3668232225.1247578</v>
      </c>
      <c r="X9" s="90">
        <f t="shared" si="23"/>
        <v>3.6682322251247577</v>
      </c>
      <c r="Y9" s="87">
        <f t="shared" si="24"/>
        <v>0.5</v>
      </c>
      <c r="Z9" s="87">
        <f t="shared" si="25"/>
        <v>11.74</v>
      </c>
      <c r="AA9" s="87">
        <f t="shared" si="26"/>
        <v>0.33600000000000002</v>
      </c>
      <c r="AB9" s="90">
        <f t="shared" si="27"/>
        <v>2.0893213185625199</v>
      </c>
      <c r="AC9" s="91">
        <f t="shared" si="28"/>
        <v>0</v>
      </c>
      <c r="AD9" s="91">
        <f t="shared" si="29"/>
        <v>0</v>
      </c>
      <c r="AE9" s="91">
        <f t="shared" si="30"/>
        <v>31.091091050037498</v>
      </c>
      <c r="AF9" s="91">
        <f t="shared" si="31"/>
        <v>93.273273150112487</v>
      </c>
      <c r="AG9" s="87">
        <f t="shared" si="32"/>
        <v>0</v>
      </c>
      <c r="AH9" s="87">
        <f>1</f>
        <v>1</v>
      </c>
      <c r="AI9" s="92">
        <f t="shared" si="33"/>
        <v>12</v>
      </c>
      <c r="AJ9" s="87">
        <f t="shared" si="34"/>
        <v>218.09199999999998</v>
      </c>
      <c r="AK9" s="87">
        <f t="shared" si="35"/>
        <v>336.68140413208914</v>
      </c>
      <c r="AL9" s="87">
        <f t="shared" si="36"/>
        <v>0</v>
      </c>
      <c r="AM9" s="111">
        <f t="shared" si="37"/>
        <v>2.1809199999999997E-2</v>
      </c>
      <c r="AN9" s="92">
        <f t="shared" si="38"/>
        <v>8.0001210244190851E-2</v>
      </c>
      <c r="AO9" s="87">
        <f t="shared" si="39"/>
        <v>80001.210244190865</v>
      </c>
      <c r="AP9" s="91">
        <f t="shared" si="40"/>
        <v>38.290525030028761</v>
      </c>
      <c r="AQ9" s="93">
        <f t="shared" si="41"/>
        <v>126.30337718544824</v>
      </c>
      <c r="AR9" s="93">
        <f t="shared" si="42"/>
        <v>378.91013155634471</v>
      </c>
      <c r="AS9" s="91">
        <f t="shared" si="43"/>
        <v>5.3381000470992941</v>
      </c>
      <c r="AT9" s="91">
        <f t="shared" si="44"/>
        <v>0.10374746281683987</v>
      </c>
      <c r="AU9" s="91">
        <f t="shared" si="45"/>
        <v>0</v>
      </c>
      <c r="AV9" s="91">
        <f t="shared" si="46"/>
        <v>86.716202949962508</v>
      </c>
      <c r="AW9" s="91">
        <f t="shared" si="47"/>
        <v>24.534020849887511</v>
      </c>
      <c r="AX9" s="107">
        <f t="shared" si="48"/>
        <v>218.09199999999998</v>
      </c>
      <c r="AY9" s="90">
        <f t="shared" si="49"/>
        <v>2.7073777462862987</v>
      </c>
      <c r="AZ9" s="91">
        <f t="shared" si="50"/>
        <v>469.58782133298661</v>
      </c>
      <c r="BA9" s="91">
        <f t="shared" si="51"/>
        <v>366823.2225124758</v>
      </c>
      <c r="BB9" s="87">
        <f t="shared" si="52"/>
        <v>3668232225.1247578</v>
      </c>
      <c r="BC9" s="90">
        <f t="shared" si="53"/>
        <v>3.6682322251247577</v>
      </c>
      <c r="BD9" s="87">
        <f t="shared" si="54"/>
        <v>0.5</v>
      </c>
      <c r="BE9" s="87">
        <f t="shared" si="55"/>
        <v>11.74</v>
      </c>
      <c r="BF9" s="87">
        <f t="shared" si="56"/>
        <v>0.33600000000000002</v>
      </c>
      <c r="BG9" s="90">
        <f t="shared" si="57"/>
        <v>2.0893213185625199</v>
      </c>
      <c r="BH9" s="91">
        <f t="shared" si="58"/>
        <v>0</v>
      </c>
      <c r="BI9" s="91">
        <f t="shared" si="59"/>
        <v>0</v>
      </c>
      <c r="BJ9" s="91">
        <f t="shared" si="60"/>
        <v>31.091091050037498</v>
      </c>
      <c r="BK9" s="91">
        <f t="shared" si="61"/>
        <v>93.273273150112487</v>
      </c>
      <c r="BL9" s="87">
        <f t="shared" si="62"/>
        <v>0</v>
      </c>
      <c r="BM9" s="87">
        <f>0</f>
        <v>0</v>
      </c>
      <c r="BN9" s="92">
        <f t="shared" si="63"/>
        <v>12</v>
      </c>
      <c r="BO9" s="87">
        <f t="shared" si="64"/>
        <v>218.09199999999998</v>
      </c>
      <c r="BP9" s="87">
        <f t="shared" si="65"/>
        <v>336.68140413208914</v>
      </c>
      <c r="BQ9" s="87">
        <f t="shared" si="66"/>
        <v>0</v>
      </c>
      <c r="BR9" s="111">
        <f t="shared" si="67"/>
        <v>2.1809199999999997E-2</v>
      </c>
      <c r="BS9" s="92">
        <f t="shared" si="68"/>
        <v>8.0001210244190851E-2</v>
      </c>
      <c r="BT9" s="87">
        <f t="shared" si="69"/>
        <v>80001.210244190865</v>
      </c>
      <c r="BU9" s="91">
        <f t="shared" si="70"/>
        <v>38.290525030028761</v>
      </c>
      <c r="BV9" s="93">
        <f t="shared" si="71"/>
        <v>126.30337718544824</v>
      </c>
      <c r="BW9" s="93">
        <f t="shared" si="72"/>
        <v>378.91013155634471</v>
      </c>
      <c r="BX9" s="91">
        <f t="shared" si="73"/>
        <v>5.3381000470992941</v>
      </c>
      <c r="BY9" s="91">
        <f t="shared" si="74"/>
        <v>0.10374746281683987</v>
      </c>
      <c r="BZ9" s="91">
        <f t="shared" si="75"/>
        <v>0</v>
      </c>
      <c r="CA9" s="91">
        <f>Table2[[#This Row],[sed_del_kg_gullied]]-Table2[[#This Row],[sed_del_kg_no_gully]]</f>
        <v>0</v>
      </c>
      <c r="CB9" s="91">
        <f t="shared" si="76"/>
        <v>86.716202949962508</v>
      </c>
      <c r="CC9" s="91">
        <f t="shared" si="77"/>
        <v>24.534020849887511</v>
      </c>
      <c r="CD9" s="91">
        <f>IF(Gullying!$BM9=1,Gullying!$CC9,Gullying!$CB9)</f>
        <v>86.716202949962508</v>
      </c>
    </row>
    <row r="10" spans="1:82" s="2" customFormat="1" x14ac:dyDescent="0.4">
      <c r="A10" s="21">
        <v>68</v>
      </c>
      <c r="B10" s="21" t="s">
        <v>94</v>
      </c>
      <c r="C10" s="21">
        <v>2.5927039999999999</v>
      </c>
      <c r="D10" s="21">
        <v>619688.80000000005</v>
      </c>
      <c r="E10" s="21">
        <v>6081429.2999999998</v>
      </c>
      <c r="F10" s="21">
        <v>748.3</v>
      </c>
      <c r="G10" s="21">
        <v>11</v>
      </c>
      <c r="H10" s="21">
        <v>0</v>
      </c>
      <c r="I10" s="21">
        <v>77.97</v>
      </c>
      <c r="J10" s="21">
        <v>0</v>
      </c>
      <c r="K10" s="21">
        <v>100</v>
      </c>
      <c r="L10" s="21">
        <v>2.7</v>
      </c>
      <c r="M10" s="21">
        <v>100</v>
      </c>
      <c r="N10" s="21">
        <v>1</v>
      </c>
      <c r="O10" s="35">
        <v>8</v>
      </c>
      <c r="P10" s="21">
        <v>90</v>
      </c>
      <c r="Q10" s="4">
        <v>781.16</v>
      </c>
      <c r="R10" s="4">
        <v>30.899999619999999</v>
      </c>
      <c r="S10" s="107">
        <f t="shared" si="18"/>
        <v>210.51900000000001</v>
      </c>
      <c r="T10" s="90">
        <f t="shared" si="19"/>
        <v>2.5942500198766076</v>
      </c>
      <c r="U10" s="91">
        <f t="shared" si="20"/>
        <v>460.0070341833499</v>
      </c>
      <c r="V10" s="91">
        <f t="shared" si="21"/>
        <v>359339.09482266562</v>
      </c>
      <c r="W10" s="87">
        <f t="shared" si="22"/>
        <v>3593390948.226656</v>
      </c>
      <c r="X10" s="90">
        <f t="shared" si="23"/>
        <v>3.5933909482266562</v>
      </c>
      <c r="Y10" s="87">
        <f t="shared" si="24"/>
        <v>0.5</v>
      </c>
      <c r="Z10" s="87">
        <f t="shared" si="25"/>
        <v>11.74</v>
      </c>
      <c r="AA10" s="87">
        <f t="shared" si="26"/>
        <v>0.33600000000000002</v>
      </c>
      <c r="AB10" s="90">
        <f t="shared" si="27"/>
        <v>2.0167719800013901</v>
      </c>
      <c r="AC10" s="91">
        <f t="shared" si="28"/>
        <v>1.8425422712013901</v>
      </c>
      <c r="AD10" s="91">
        <f t="shared" si="29"/>
        <v>1.9586954104013903</v>
      </c>
      <c r="AE10" s="91">
        <f t="shared" si="30"/>
        <v>30.011487797639735</v>
      </c>
      <c r="AF10" s="91">
        <f t="shared" si="31"/>
        <v>90.034463392919207</v>
      </c>
      <c r="AG10" s="87">
        <f t="shared" si="32"/>
        <v>0</v>
      </c>
      <c r="AH10" s="87">
        <f>1</f>
        <v>1</v>
      </c>
      <c r="AI10" s="92">
        <f t="shared" si="33"/>
        <v>8</v>
      </c>
      <c r="AJ10" s="87">
        <f t="shared" si="34"/>
        <v>210.51900000000001</v>
      </c>
      <c r="AK10" s="87">
        <f t="shared" si="35"/>
        <v>502.97075740294036</v>
      </c>
      <c r="AL10" s="87">
        <f t="shared" si="36"/>
        <v>1.9586954104013903</v>
      </c>
      <c r="AM10" s="111">
        <f t="shared" si="37"/>
        <v>2.1051900000000002E-2</v>
      </c>
      <c r="AN10" s="92">
        <f t="shared" si="38"/>
        <v>7.5647706902972747E-2</v>
      </c>
      <c r="AO10" s="87">
        <f t="shared" si="39"/>
        <v>75647.706902972743</v>
      </c>
      <c r="AP10" s="91">
        <f t="shared" si="40"/>
        <v>37.509300829794647</v>
      </c>
      <c r="AQ10" s="93">
        <f t="shared" si="41"/>
        <v>2.8796795163705102</v>
      </c>
      <c r="AR10" s="93">
        <f t="shared" si="42"/>
        <v>8.6390385491115307</v>
      </c>
      <c r="AS10" s="91">
        <f t="shared" si="43"/>
        <v>35.861558355959055</v>
      </c>
      <c r="AT10" s="91">
        <f t="shared" si="44"/>
        <v>32.780044242212313</v>
      </c>
      <c r="AU10" s="91">
        <f t="shared" si="45"/>
        <v>70.241869761658634</v>
      </c>
      <c r="AV10" s="91">
        <f t="shared" si="46"/>
        <v>0</v>
      </c>
      <c r="AW10" s="91">
        <f t="shared" si="47"/>
        <v>0</v>
      </c>
      <c r="AX10" s="107">
        <f t="shared" si="48"/>
        <v>210.51900000000001</v>
      </c>
      <c r="AY10" s="90">
        <f t="shared" si="49"/>
        <v>2.5942500198766076</v>
      </c>
      <c r="AZ10" s="91">
        <f t="shared" si="50"/>
        <v>460.0070341833499</v>
      </c>
      <c r="BA10" s="91">
        <f t="shared" si="51"/>
        <v>359339.09482266562</v>
      </c>
      <c r="BB10" s="87">
        <f t="shared" si="52"/>
        <v>3593390948.226656</v>
      </c>
      <c r="BC10" s="90">
        <f t="shared" si="53"/>
        <v>3.5933909482266562</v>
      </c>
      <c r="BD10" s="87">
        <f t="shared" si="54"/>
        <v>0.5</v>
      </c>
      <c r="BE10" s="87">
        <f t="shared" si="55"/>
        <v>11.74</v>
      </c>
      <c r="BF10" s="87">
        <f t="shared" si="56"/>
        <v>0.33600000000000002</v>
      </c>
      <c r="BG10" s="90">
        <f t="shared" si="57"/>
        <v>2.0167719800013901</v>
      </c>
      <c r="BH10" s="91">
        <f t="shared" si="58"/>
        <v>1.8425422712013901</v>
      </c>
      <c r="BI10" s="91">
        <f t="shared" si="59"/>
        <v>1.9586954104013903</v>
      </c>
      <c r="BJ10" s="91">
        <f t="shared" si="60"/>
        <v>30.011487797639735</v>
      </c>
      <c r="BK10" s="91">
        <f t="shared" si="61"/>
        <v>90.034463392919207</v>
      </c>
      <c r="BL10" s="87">
        <f t="shared" si="62"/>
        <v>0</v>
      </c>
      <c r="BM10" s="87">
        <f>0</f>
        <v>0</v>
      </c>
      <c r="BN10" s="92">
        <f t="shared" si="63"/>
        <v>8</v>
      </c>
      <c r="BO10" s="87">
        <f t="shared" si="64"/>
        <v>210.51900000000001</v>
      </c>
      <c r="BP10" s="87">
        <f t="shared" si="65"/>
        <v>502.97075740294036</v>
      </c>
      <c r="BQ10" s="87">
        <f t="shared" si="66"/>
        <v>1.8425422712013901</v>
      </c>
      <c r="BR10" s="111">
        <f t="shared" si="67"/>
        <v>2.1051900000000002E-2</v>
      </c>
      <c r="BS10" s="92">
        <f t="shared" si="68"/>
        <v>7.5647706902972747E-2</v>
      </c>
      <c r="BT10" s="87">
        <f t="shared" si="69"/>
        <v>75647.706902972743</v>
      </c>
      <c r="BU10" s="91">
        <f t="shared" si="70"/>
        <v>37.509300829794647</v>
      </c>
      <c r="BV10" s="93">
        <f t="shared" si="71"/>
        <v>2.8796795163705102</v>
      </c>
      <c r="BW10" s="93">
        <f t="shared" si="72"/>
        <v>8.6390385491115307</v>
      </c>
      <c r="BX10" s="91">
        <f t="shared" si="73"/>
        <v>35.861558355959055</v>
      </c>
      <c r="BY10" s="91">
        <f t="shared" si="74"/>
        <v>32.780044242212313</v>
      </c>
      <c r="BZ10" s="91">
        <f t="shared" si="75"/>
        <v>60.398617168127927</v>
      </c>
      <c r="CA10" s="91">
        <f>Table2[[#This Row],[sed_del_kg_gullied]]-Table2[[#This Row],[sed_del_kg_no_gully]]</f>
        <v>9.8432525935307069</v>
      </c>
      <c r="CB10" s="91">
        <f t="shared" si="76"/>
        <v>0</v>
      </c>
      <c r="CC10" s="91">
        <f t="shared" si="77"/>
        <v>0</v>
      </c>
      <c r="CD10" s="91">
        <f>IF(Gullying!$BM10=1,Gullying!$CC10,Gullying!$CB10)</f>
        <v>0</v>
      </c>
    </row>
    <row r="11" spans="1:82" s="2" customFormat="1" x14ac:dyDescent="0.4">
      <c r="A11" s="21">
        <v>120</v>
      </c>
      <c r="B11" s="21" t="s">
        <v>94</v>
      </c>
      <c r="C11" s="21">
        <v>34.616855000000001</v>
      </c>
      <c r="D11" s="21">
        <v>620463.1</v>
      </c>
      <c r="E11" s="21">
        <v>6082664.5</v>
      </c>
      <c r="F11" s="21">
        <v>748.3</v>
      </c>
      <c r="G11" s="21">
        <v>10</v>
      </c>
      <c r="H11" s="21">
        <v>0</v>
      </c>
      <c r="I11" s="21">
        <v>22</v>
      </c>
      <c r="J11" s="21">
        <v>0</v>
      </c>
      <c r="K11" s="21">
        <v>100</v>
      </c>
      <c r="L11" s="21">
        <v>3.5</v>
      </c>
      <c r="M11" s="21">
        <v>100</v>
      </c>
      <c r="N11" s="21">
        <v>0</v>
      </c>
      <c r="O11" s="35">
        <v>12</v>
      </c>
      <c r="P11" s="21">
        <v>90</v>
      </c>
      <c r="Q11" s="4">
        <v>781.16</v>
      </c>
      <c r="R11" s="4">
        <v>30.899999619999999</v>
      </c>
      <c r="S11" s="107">
        <f t="shared" si="18"/>
        <v>77</v>
      </c>
      <c r="T11" s="90">
        <f t="shared" si="19"/>
        <v>2.4803708090655769</v>
      </c>
      <c r="U11" s="91">
        <f t="shared" si="20"/>
        <v>450.36260381976365</v>
      </c>
      <c r="V11" s="91">
        <f t="shared" si="21"/>
        <v>351805.25159984658</v>
      </c>
      <c r="W11" s="87">
        <f t="shared" si="22"/>
        <v>3518052515.998466</v>
      </c>
      <c r="X11" s="90">
        <f t="shared" si="23"/>
        <v>3.5180525159984661</v>
      </c>
      <c r="Y11" s="87">
        <f t="shared" si="24"/>
        <v>0.5</v>
      </c>
      <c r="Z11" s="87">
        <f t="shared" si="25"/>
        <v>11.74</v>
      </c>
      <c r="AA11" s="87">
        <f t="shared" si="26"/>
        <v>0.33600000000000002</v>
      </c>
      <c r="AB11" s="90">
        <f t="shared" si="27"/>
        <v>0.7376599853700001</v>
      </c>
      <c r="AC11" s="91">
        <f t="shared" si="28"/>
        <v>0</v>
      </c>
      <c r="AD11" s="91">
        <f t="shared" si="29"/>
        <v>0</v>
      </c>
      <c r="AE11" s="91">
        <f t="shared" si="30"/>
        <v>10.977083115625001</v>
      </c>
      <c r="AF11" s="91">
        <f t="shared" si="31"/>
        <v>32.931249346875006</v>
      </c>
      <c r="AG11" s="87">
        <f t="shared" si="32"/>
        <v>0</v>
      </c>
      <c r="AH11" s="87">
        <f>1</f>
        <v>1</v>
      </c>
      <c r="AI11" s="92">
        <f t="shared" si="33"/>
        <v>12</v>
      </c>
      <c r="AJ11" s="87">
        <f t="shared" si="34"/>
        <v>77</v>
      </c>
      <c r="AK11" s="87">
        <f t="shared" si="35"/>
        <v>336.68140413208914</v>
      </c>
      <c r="AL11" s="87">
        <f t="shared" si="36"/>
        <v>0</v>
      </c>
      <c r="AM11" s="111">
        <f t="shared" si="37"/>
        <v>7.7000000000000002E-3</v>
      </c>
      <c r="AN11" s="92">
        <f t="shared" si="38"/>
        <v>2.7089004373188189E-2</v>
      </c>
      <c r="AO11" s="87">
        <f t="shared" si="39"/>
        <v>27089.004373188189</v>
      </c>
      <c r="AP11" s="91">
        <f t="shared" si="40"/>
        <v>36.722887116617443</v>
      </c>
      <c r="AQ11" s="93">
        <f t="shared" si="41"/>
        <v>105.11855968587767</v>
      </c>
      <c r="AR11" s="93">
        <f t="shared" si="42"/>
        <v>315.35567905763304</v>
      </c>
      <c r="AS11" s="91">
        <f t="shared" si="43"/>
        <v>7.1245791428645262</v>
      </c>
      <c r="AT11" s="91">
        <f t="shared" si="44"/>
        <v>0.26816618283019428</v>
      </c>
      <c r="AU11" s="91">
        <f t="shared" si="45"/>
        <v>0</v>
      </c>
      <c r="AV11" s="91">
        <f t="shared" si="46"/>
        <v>23.639771884375001</v>
      </c>
      <c r="AW11" s="91">
        <f t="shared" si="47"/>
        <v>1.6856056531249948</v>
      </c>
      <c r="AX11" s="107">
        <f t="shared" si="48"/>
        <v>77</v>
      </c>
      <c r="AY11" s="90">
        <f t="shared" si="49"/>
        <v>2.4803708090655769</v>
      </c>
      <c r="AZ11" s="91">
        <f t="shared" si="50"/>
        <v>450.36260381976365</v>
      </c>
      <c r="BA11" s="91">
        <f t="shared" si="51"/>
        <v>351805.25159984658</v>
      </c>
      <c r="BB11" s="87">
        <f t="shared" si="52"/>
        <v>3518052515.998466</v>
      </c>
      <c r="BC11" s="90">
        <f t="shared" si="53"/>
        <v>3.5180525159984661</v>
      </c>
      <c r="BD11" s="87">
        <f t="shared" si="54"/>
        <v>0.5</v>
      </c>
      <c r="BE11" s="87">
        <f t="shared" si="55"/>
        <v>11.74</v>
      </c>
      <c r="BF11" s="87">
        <f t="shared" si="56"/>
        <v>0.33600000000000002</v>
      </c>
      <c r="BG11" s="90">
        <f t="shared" si="57"/>
        <v>0.7376599853700001</v>
      </c>
      <c r="BH11" s="91">
        <f t="shared" si="58"/>
        <v>0</v>
      </c>
      <c r="BI11" s="91">
        <f t="shared" si="59"/>
        <v>0</v>
      </c>
      <c r="BJ11" s="91">
        <f t="shared" si="60"/>
        <v>10.977083115625001</v>
      </c>
      <c r="BK11" s="91">
        <f t="shared" si="61"/>
        <v>32.931249346875006</v>
      </c>
      <c r="BL11" s="87">
        <f t="shared" si="62"/>
        <v>0</v>
      </c>
      <c r="BM11" s="87">
        <f>0</f>
        <v>0</v>
      </c>
      <c r="BN11" s="92">
        <f t="shared" si="63"/>
        <v>12</v>
      </c>
      <c r="BO11" s="87">
        <f t="shared" si="64"/>
        <v>77</v>
      </c>
      <c r="BP11" s="87">
        <f t="shared" si="65"/>
        <v>336.68140413208914</v>
      </c>
      <c r="BQ11" s="87">
        <f t="shared" si="66"/>
        <v>0</v>
      </c>
      <c r="BR11" s="111">
        <f t="shared" si="67"/>
        <v>7.7000000000000002E-3</v>
      </c>
      <c r="BS11" s="92">
        <f t="shared" si="68"/>
        <v>2.7089004373188189E-2</v>
      </c>
      <c r="BT11" s="87">
        <f t="shared" si="69"/>
        <v>27089.004373188189</v>
      </c>
      <c r="BU11" s="91">
        <f t="shared" si="70"/>
        <v>36.722887116617443</v>
      </c>
      <c r="BV11" s="93">
        <f t="shared" si="71"/>
        <v>105.11855968587767</v>
      </c>
      <c r="BW11" s="93">
        <f t="shared" si="72"/>
        <v>315.35567905763304</v>
      </c>
      <c r="BX11" s="91">
        <f t="shared" si="73"/>
        <v>7.1245791428645262</v>
      </c>
      <c r="BY11" s="91">
        <f t="shared" si="74"/>
        <v>0.26816618283019428</v>
      </c>
      <c r="BZ11" s="91">
        <f t="shared" si="75"/>
        <v>0</v>
      </c>
      <c r="CA11" s="91">
        <f>Table2[[#This Row],[sed_del_kg_gullied]]-Table2[[#This Row],[sed_del_kg_no_gully]]</f>
        <v>0</v>
      </c>
      <c r="CB11" s="91">
        <f t="shared" si="76"/>
        <v>23.639771884375001</v>
      </c>
      <c r="CC11" s="91">
        <f t="shared" si="77"/>
        <v>1.6856056531249948</v>
      </c>
      <c r="CD11" s="91">
        <f>IF(Gullying!$BM11=1,Gullying!$CC11,Gullying!$CB11)</f>
        <v>23.639771884375001</v>
      </c>
    </row>
    <row r="12" spans="1:82" s="2" customFormat="1" x14ac:dyDescent="0.4">
      <c r="A12" s="21">
        <v>122</v>
      </c>
      <c r="B12" s="21" t="s">
        <v>94</v>
      </c>
      <c r="C12" s="21">
        <v>48.858932000000003</v>
      </c>
      <c r="D12" s="21">
        <v>620502.19999999995</v>
      </c>
      <c r="E12" s="21">
        <v>6082737.7000000002</v>
      </c>
      <c r="F12" s="21">
        <v>748.7</v>
      </c>
      <c r="G12" s="21">
        <v>11</v>
      </c>
      <c r="H12" s="21">
        <v>0</v>
      </c>
      <c r="I12" s="21">
        <v>33.700000000000003</v>
      </c>
      <c r="J12" s="21">
        <v>0</v>
      </c>
      <c r="K12" s="21">
        <v>100</v>
      </c>
      <c r="L12" s="21">
        <v>3.2</v>
      </c>
      <c r="M12" s="21">
        <v>100</v>
      </c>
      <c r="N12" s="21">
        <v>0</v>
      </c>
      <c r="O12" s="35">
        <v>6</v>
      </c>
      <c r="P12" s="21">
        <v>90</v>
      </c>
      <c r="Q12" s="4">
        <v>781.16</v>
      </c>
      <c r="R12" s="4">
        <v>30.899999619999999</v>
      </c>
      <c r="S12" s="107">
        <f t="shared" si="18"/>
        <v>107.84000000000002</v>
      </c>
      <c r="T12" s="90">
        <f t="shared" si="19"/>
        <v>2.5942500198766076</v>
      </c>
      <c r="U12" s="91">
        <f t="shared" si="20"/>
        <v>460.0070341833499</v>
      </c>
      <c r="V12" s="91">
        <f t="shared" si="21"/>
        <v>359339.09482266562</v>
      </c>
      <c r="W12" s="87">
        <f t="shared" si="22"/>
        <v>3593390948.226656</v>
      </c>
      <c r="X12" s="90">
        <f t="shared" si="23"/>
        <v>3.5933909482266562</v>
      </c>
      <c r="Y12" s="87">
        <f t="shared" si="24"/>
        <v>0.5</v>
      </c>
      <c r="Z12" s="87">
        <f t="shared" si="25"/>
        <v>11.74</v>
      </c>
      <c r="AA12" s="87">
        <f t="shared" si="26"/>
        <v>0.33600000000000002</v>
      </c>
      <c r="AB12" s="90">
        <f t="shared" si="27"/>
        <v>1.0331071795104001</v>
      </c>
      <c r="AC12" s="91">
        <f t="shared" si="28"/>
        <v>0</v>
      </c>
      <c r="AD12" s="91">
        <f t="shared" si="29"/>
        <v>0</v>
      </c>
      <c r="AE12" s="91">
        <f t="shared" si="30"/>
        <v>15.373618742714287</v>
      </c>
      <c r="AF12" s="91">
        <f t="shared" si="31"/>
        <v>46.120856228142863</v>
      </c>
      <c r="AG12" s="87">
        <f t="shared" si="32"/>
        <v>0</v>
      </c>
      <c r="AH12" s="87">
        <f>1</f>
        <v>1</v>
      </c>
      <c r="AI12" s="92">
        <f t="shared" si="33"/>
        <v>6</v>
      </c>
      <c r="AJ12" s="87">
        <f t="shared" si="34"/>
        <v>107.84000000000002</v>
      </c>
      <c r="AK12" s="87">
        <f t="shared" si="35"/>
        <v>669.67405634539386</v>
      </c>
      <c r="AL12" s="87">
        <f t="shared" si="36"/>
        <v>0</v>
      </c>
      <c r="AM12" s="111">
        <f t="shared" si="37"/>
        <v>1.0784000000000002E-2</v>
      </c>
      <c r="AN12" s="92">
        <f t="shared" si="38"/>
        <v>3.8751127985676266E-2</v>
      </c>
      <c r="AO12" s="87">
        <f t="shared" si="39"/>
        <v>38751.127985676263</v>
      </c>
      <c r="AP12" s="91">
        <f t="shared" si="40"/>
        <v>37.509300829794654</v>
      </c>
      <c r="AQ12" s="93">
        <f t="shared" si="41"/>
        <v>105.93674097964029</v>
      </c>
      <c r="AR12" s="93">
        <f t="shared" si="42"/>
        <v>317.8102229389209</v>
      </c>
      <c r="AS12" s="91">
        <f t="shared" si="43"/>
        <v>7.184858065595634</v>
      </c>
      <c r="AT12" s="91">
        <f t="shared" si="44"/>
        <v>0.26361895954728853</v>
      </c>
      <c r="AU12" s="91">
        <f t="shared" si="45"/>
        <v>0</v>
      </c>
      <c r="AV12" s="91">
        <f t="shared" si="46"/>
        <v>33.485313257285718</v>
      </c>
      <c r="AW12" s="91">
        <f t="shared" si="47"/>
        <v>2.7380757718571402</v>
      </c>
      <c r="AX12" s="107">
        <f t="shared" si="48"/>
        <v>107.84000000000002</v>
      </c>
      <c r="AY12" s="90">
        <f t="shared" si="49"/>
        <v>2.5942500198766076</v>
      </c>
      <c r="AZ12" s="91">
        <f t="shared" si="50"/>
        <v>460.0070341833499</v>
      </c>
      <c r="BA12" s="91">
        <f t="shared" si="51"/>
        <v>359339.09482266562</v>
      </c>
      <c r="BB12" s="87">
        <f t="shared" si="52"/>
        <v>3593390948.226656</v>
      </c>
      <c r="BC12" s="90">
        <f t="shared" si="53"/>
        <v>3.5933909482266562</v>
      </c>
      <c r="BD12" s="87">
        <f t="shared" si="54"/>
        <v>0.5</v>
      </c>
      <c r="BE12" s="87">
        <f t="shared" si="55"/>
        <v>11.74</v>
      </c>
      <c r="BF12" s="87">
        <f t="shared" si="56"/>
        <v>0.33600000000000002</v>
      </c>
      <c r="BG12" s="90">
        <f t="shared" si="57"/>
        <v>1.0331071795104001</v>
      </c>
      <c r="BH12" s="91">
        <f t="shared" si="58"/>
        <v>0</v>
      </c>
      <c r="BI12" s="91">
        <f t="shared" si="59"/>
        <v>0</v>
      </c>
      <c r="BJ12" s="91">
        <f t="shared" si="60"/>
        <v>15.373618742714287</v>
      </c>
      <c r="BK12" s="91">
        <f t="shared" si="61"/>
        <v>46.120856228142863</v>
      </c>
      <c r="BL12" s="87">
        <f t="shared" si="62"/>
        <v>0</v>
      </c>
      <c r="BM12" s="87">
        <f>0</f>
        <v>0</v>
      </c>
      <c r="BN12" s="92">
        <f t="shared" si="63"/>
        <v>6</v>
      </c>
      <c r="BO12" s="87">
        <f t="shared" si="64"/>
        <v>107.84000000000002</v>
      </c>
      <c r="BP12" s="87">
        <f t="shared" si="65"/>
        <v>669.67405634539386</v>
      </c>
      <c r="BQ12" s="87">
        <f t="shared" si="66"/>
        <v>0</v>
      </c>
      <c r="BR12" s="111">
        <f t="shared" si="67"/>
        <v>1.0784000000000002E-2</v>
      </c>
      <c r="BS12" s="92">
        <f t="shared" si="68"/>
        <v>3.8751127985676266E-2</v>
      </c>
      <c r="BT12" s="87">
        <f t="shared" si="69"/>
        <v>38751.127985676263</v>
      </c>
      <c r="BU12" s="91">
        <f t="shared" si="70"/>
        <v>37.509300829794654</v>
      </c>
      <c r="BV12" s="93">
        <f t="shared" si="71"/>
        <v>105.93674097964029</v>
      </c>
      <c r="BW12" s="93">
        <f t="shared" si="72"/>
        <v>317.8102229389209</v>
      </c>
      <c r="BX12" s="91">
        <f t="shared" si="73"/>
        <v>7.184858065595634</v>
      </c>
      <c r="BY12" s="91">
        <f t="shared" si="74"/>
        <v>0.26361895954728853</v>
      </c>
      <c r="BZ12" s="91">
        <f t="shared" si="75"/>
        <v>0</v>
      </c>
      <c r="CA12" s="91">
        <f>Table2[[#This Row],[sed_del_kg_gullied]]-Table2[[#This Row],[sed_del_kg_no_gully]]</f>
        <v>0</v>
      </c>
      <c r="CB12" s="91">
        <f t="shared" si="76"/>
        <v>33.485313257285718</v>
      </c>
      <c r="CC12" s="91">
        <f t="shared" si="77"/>
        <v>2.7380757718571402</v>
      </c>
      <c r="CD12" s="91">
        <f>IF(Gullying!$BM12=1,Gullying!$CC12,Gullying!$CB12)</f>
        <v>33.485313257285718</v>
      </c>
    </row>
    <row r="13" spans="1:82" x14ac:dyDescent="0.4">
      <c r="A13" s="21">
        <v>69</v>
      </c>
      <c r="B13" s="21" t="s">
        <v>94</v>
      </c>
      <c r="C13" s="21">
        <v>49.795875000000002</v>
      </c>
      <c r="D13" s="21">
        <v>619712.5</v>
      </c>
      <c r="E13" s="21">
        <v>6081464.2999999998</v>
      </c>
      <c r="F13" s="21">
        <v>752.1</v>
      </c>
      <c r="G13" s="21">
        <v>11</v>
      </c>
      <c r="H13" s="21">
        <v>0</v>
      </c>
      <c r="I13" s="21">
        <v>34.200000000000003</v>
      </c>
      <c r="J13" s="21">
        <v>0</v>
      </c>
      <c r="K13" s="21">
        <v>100</v>
      </c>
      <c r="L13" s="21">
        <v>2.5</v>
      </c>
      <c r="M13" s="21">
        <v>100</v>
      </c>
      <c r="N13" s="21">
        <v>0</v>
      </c>
      <c r="O13" s="35">
        <v>7</v>
      </c>
      <c r="P13" s="21">
        <v>90</v>
      </c>
      <c r="Q13" s="4">
        <v>781.16</v>
      </c>
      <c r="R13" s="4">
        <v>30.899999619999999</v>
      </c>
      <c r="S13" s="107">
        <f t="shared" si="18"/>
        <v>85.5</v>
      </c>
      <c r="T13" s="90">
        <f t="shared" si="19"/>
        <v>2.5942500198766076</v>
      </c>
      <c r="U13" s="91">
        <f t="shared" si="20"/>
        <v>460.0070341833499</v>
      </c>
      <c r="V13" s="91">
        <f t="shared" si="21"/>
        <v>359339.09482266562</v>
      </c>
      <c r="W13" s="87">
        <f t="shared" si="22"/>
        <v>3593390948.226656</v>
      </c>
      <c r="X13" s="90">
        <f t="shared" si="23"/>
        <v>3.5933909482266562</v>
      </c>
      <c r="Y13" s="87">
        <f t="shared" si="24"/>
        <v>0.5</v>
      </c>
      <c r="Z13" s="87">
        <f t="shared" si="25"/>
        <v>11.74</v>
      </c>
      <c r="AA13" s="87">
        <f t="shared" si="26"/>
        <v>0.33600000000000002</v>
      </c>
      <c r="AB13" s="90">
        <f t="shared" si="27"/>
        <v>0.81908998375500008</v>
      </c>
      <c r="AC13" s="91">
        <f t="shared" si="28"/>
        <v>0</v>
      </c>
      <c r="AD13" s="91">
        <f t="shared" si="29"/>
        <v>0</v>
      </c>
      <c r="AE13" s="91">
        <f t="shared" si="30"/>
        <v>12.188839043973214</v>
      </c>
      <c r="AF13" s="91">
        <f t="shared" si="31"/>
        <v>36.566517131919639</v>
      </c>
      <c r="AG13" s="87">
        <f t="shared" si="32"/>
        <v>0</v>
      </c>
      <c r="AH13" s="87">
        <f>1</f>
        <v>1</v>
      </c>
      <c r="AI13" s="92">
        <f t="shared" si="33"/>
        <v>7</v>
      </c>
      <c r="AJ13" s="87">
        <f t="shared" si="34"/>
        <v>85.5</v>
      </c>
      <c r="AK13" s="87">
        <f t="shared" si="35"/>
        <v>574.38563336875552</v>
      </c>
      <c r="AL13" s="87">
        <f t="shared" si="36"/>
        <v>0</v>
      </c>
      <c r="AM13" s="111">
        <f t="shared" si="37"/>
        <v>8.5500000000000003E-3</v>
      </c>
      <c r="AN13" s="92">
        <f t="shared" si="38"/>
        <v>3.0723492607337911E-2</v>
      </c>
      <c r="AO13" s="87">
        <f t="shared" si="39"/>
        <v>30723.49260733791</v>
      </c>
      <c r="AP13" s="91">
        <f t="shared" si="40"/>
        <v>37.509300829794654</v>
      </c>
      <c r="AQ13" s="93">
        <f t="shared" si="41"/>
        <v>136.17888414243367</v>
      </c>
      <c r="AR13" s="93">
        <f t="shared" si="42"/>
        <v>408.53665242730096</v>
      </c>
      <c r="AS13" s="91">
        <f t="shared" si="43"/>
        <v>4.4825780196345653</v>
      </c>
      <c r="AT13" s="91">
        <f t="shared" si="44"/>
        <v>6.401852057419874E-2</v>
      </c>
      <c r="AU13" s="91">
        <f t="shared" si="45"/>
        <v>0</v>
      </c>
      <c r="AV13" s="91">
        <f t="shared" si="46"/>
        <v>37.607035956026792</v>
      </c>
      <c r="AW13" s="91">
        <f t="shared" si="47"/>
        <v>13.229357868080363</v>
      </c>
      <c r="AX13" s="107">
        <f t="shared" si="48"/>
        <v>85.5</v>
      </c>
      <c r="AY13" s="90">
        <f t="shared" si="49"/>
        <v>2.5942500198766076</v>
      </c>
      <c r="AZ13" s="91">
        <f t="shared" si="50"/>
        <v>460.0070341833499</v>
      </c>
      <c r="BA13" s="91">
        <f t="shared" si="51"/>
        <v>359339.09482266562</v>
      </c>
      <c r="BB13" s="87">
        <f t="shared" si="52"/>
        <v>3593390948.226656</v>
      </c>
      <c r="BC13" s="90">
        <f t="shared" si="53"/>
        <v>3.5933909482266562</v>
      </c>
      <c r="BD13" s="87">
        <f t="shared" si="54"/>
        <v>0.5</v>
      </c>
      <c r="BE13" s="87">
        <f t="shared" si="55"/>
        <v>11.74</v>
      </c>
      <c r="BF13" s="87">
        <f t="shared" si="56"/>
        <v>0.33600000000000002</v>
      </c>
      <c r="BG13" s="90">
        <f t="shared" si="57"/>
        <v>0.81908998375500008</v>
      </c>
      <c r="BH13" s="91">
        <f t="shared" si="58"/>
        <v>0</v>
      </c>
      <c r="BI13" s="91">
        <f t="shared" si="59"/>
        <v>0</v>
      </c>
      <c r="BJ13" s="91">
        <f t="shared" si="60"/>
        <v>12.188839043973214</v>
      </c>
      <c r="BK13" s="91">
        <f t="shared" si="61"/>
        <v>36.566517131919639</v>
      </c>
      <c r="BL13" s="87">
        <f t="shared" si="62"/>
        <v>0</v>
      </c>
      <c r="BM13" s="87">
        <f>0</f>
        <v>0</v>
      </c>
      <c r="BN13" s="92">
        <f t="shared" si="63"/>
        <v>7</v>
      </c>
      <c r="BO13" s="87">
        <f t="shared" si="64"/>
        <v>85.5</v>
      </c>
      <c r="BP13" s="87">
        <f t="shared" si="65"/>
        <v>574.38563336875552</v>
      </c>
      <c r="BQ13" s="87">
        <f t="shared" si="66"/>
        <v>0</v>
      </c>
      <c r="BR13" s="111">
        <f t="shared" si="67"/>
        <v>8.5500000000000003E-3</v>
      </c>
      <c r="BS13" s="92">
        <f t="shared" si="68"/>
        <v>3.0723492607337911E-2</v>
      </c>
      <c r="BT13" s="87">
        <f t="shared" si="69"/>
        <v>30723.49260733791</v>
      </c>
      <c r="BU13" s="91">
        <f t="shared" si="70"/>
        <v>37.509300829794654</v>
      </c>
      <c r="BV13" s="93">
        <f t="shared" si="71"/>
        <v>136.17888414243367</v>
      </c>
      <c r="BW13" s="93">
        <f t="shared" si="72"/>
        <v>408.53665242730096</v>
      </c>
      <c r="BX13" s="91">
        <f t="shared" si="73"/>
        <v>4.4825780196345653</v>
      </c>
      <c r="BY13" s="91">
        <f t="shared" si="74"/>
        <v>6.401852057419874E-2</v>
      </c>
      <c r="BZ13" s="91">
        <f t="shared" si="75"/>
        <v>0</v>
      </c>
      <c r="CA13" s="91">
        <f>Table2[[#This Row],[sed_del_kg_gullied]]-Table2[[#This Row],[sed_del_kg_no_gully]]</f>
        <v>0</v>
      </c>
      <c r="CB13" s="91">
        <f t="shared" si="76"/>
        <v>37.607035956026792</v>
      </c>
      <c r="CC13" s="91">
        <f t="shared" si="77"/>
        <v>13.229357868080363</v>
      </c>
      <c r="CD13" s="91">
        <f>IF(Gullying!$BM13=1,Gullying!$CC13,Gullying!$CB13)</f>
        <v>37.607035956026792</v>
      </c>
    </row>
    <row r="14" spans="1:82" x14ac:dyDescent="0.4">
      <c r="A14" s="21">
        <v>119</v>
      </c>
      <c r="B14" s="21" t="s">
        <v>94</v>
      </c>
      <c r="C14" s="21">
        <v>55.453921000000001</v>
      </c>
      <c r="D14" s="21">
        <v>620468.80000000005</v>
      </c>
      <c r="E14" s="21">
        <v>6082644.0999999996</v>
      </c>
      <c r="F14" s="21">
        <v>752.5</v>
      </c>
      <c r="G14" s="21">
        <v>17</v>
      </c>
      <c r="H14" s="21">
        <v>0</v>
      </c>
      <c r="I14" s="21">
        <v>41</v>
      </c>
      <c r="J14" s="21">
        <v>0</v>
      </c>
      <c r="K14" s="21">
        <v>100</v>
      </c>
      <c r="L14" s="21">
        <v>3</v>
      </c>
      <c r="M14" s="21">
        <v>100</v>
      </c>
      <c r="N14" s="21">
        <v>1</v>
      </c>
      <c r="O14" s="35">
        <v>10</v>
      </c>
      <c r="P14" s="21">
        <v>90</v>
      </c>
      <c r="Q14" s="4">
        <v>781.16</v>
      </c>
      <c r="R14" s="4">
        <v>30.899999619999999</v>
      </c>
      <c r="S14" s="107">
        <f t="shared" si="18"/>
        <v>123</v>
      </c>
      <c r="T14" s="90">
        <f t="shared" si="19"/>
        <v>3.2456920022533735</v>
      </c>
      <c r="U14" s="91">
        <f t="shared" si="20"/>
        <v>515.17765567083813</v>
      </c>
      <c r="V14" s="91">
        <f t="shared" si="21"/>
        <v>402436.17750383192</v>
      </c>
      <c r="W14" s="87">
        <f t="shared" si="22"/>
        <v>4024361775.0383191</v>
      </c>
      <c r="X14" s="90">
        <f t="shared" si="23"/>
        <v>4.0243617750383187</v>
      </c>
      <c r="Y14" s="87">
        <f t="shared" si="24"/>
        <v>0.5</v>
      </c>
      <c r="Z14" s="87">
        <f t="shared" si="25"/>
        <v>11.74</v>
      </c>
      <c r="AA14" s="87">
        <f t="shared" si="26"/>
        <v>0.33600000000000002</v>
      </c>
      <c r="AB14" s="90">
        <f t="shared" si="27"/>
        <v>1.1783399766300002</v>
      </c>
      <c r="AC14" s="91">
        <f t="shared" si="28"/>
        <v>0</v>
      </c>
      <c r="AD14" s="91">
        <f t="shared" si="29"/>
        <v>0</v>
      </c>
      <c r="AE14" s="91">
        <f t="shared" si="30"/>
        <v>17.534821080803574</v>
      </c>
      <c r="AF14" s="91">
        <f t="shared" si="31"/>
        <v>52.604463242410723</v>
      </c>
      <c r="AG14" s="87">
        <f t="shared" si="32"/>
        <v>0</v>
      </c>
      <c r="AH14" s="87">
        <f>1</f>
        <v>1</v>
      </c>
      <c r="AI14" s="92">
        <f t="shared" si="33"/>
        <v>10</v>
      </c>
      <c r="AJ14" s="87">
        <f t="shared" si="34"/>
        <v>123</v>
      </c>
      <c r="AK14" s="87">
        <f t="shared" si="35"/>
        <v>403.1139338200544</v>
      </c>
      <c r="AL14" s="87">
        <f t="shared" si="36"/>
        <v>0</v>
      </c>
      <c r="AM14" s="111">
        <f t="shared" si="37"/>
        <v>1.23E-2</v>
      </c>
      <c r="AN14" s="92">
        <f t="shared" si="38"/>
        <v>4.9499649832971324E-2</v>
      </c>
      <c r="AO14" s="87">
        <f t="shared" si="39"/>
        <v>49499.649832971321</v>
      </c>
      <c r="AP14" s="91">
        <f t="shared" si="40"/>
        <v>42.007952555881296</v>
      </c>
      <c r="AQ14" s="93">
        <f t="shared" si="41"/>
        <v>105.41676044570301</v>
      </c>
      <c r="AR14" s="93">
        <f t="shared" si="42"/>
        <v>316.25028133710902</v>
      </c>
      <c r="AS14" s="91">
        <f t="shared" si="43"/>
        <v>8.1121057578585614</v>
      </c>
      <c r="AT14" s="91">
        <f t="shared" si="44"/>
        <v>0.30250863939647299</v>
      </c>
      <c r="AU14" s="91">
        <f t="shared" si="45"/>
        <v>0</v>
      </c>
      <c r="AV14" s="91">
        <f t="shared" si="46"/>
        <v>37.919099919196427</v>
      </c>
      <c r="AW14" s="91">
        <f t="shared" si="47"/>
        <v>2.8494577575892777</v>
      </c>
      <c r="AX14" s="107">
        <f t="shared" si="48"/>
        <v>123</v>
      </c>
      <c r="AY14" s="90">
        <f t="shared" si="49"/>
        <v>3.2456920022533735</v>
      </c>
      <c r="AZ14" s="91">
        <f t="shared" si="50"/>
        <v>515.17765567083813</v>
      </c>
      <c r="BA14" s="91">
        <f t="shared" si="51"/>
        <v>402436.17750383192</v>
      </c>
      <c r="BB14" s="87">
        <f t="shared" si="52"/>
        <v>4024361775.0383191</v>
      </c>
      <c r="BC14" s="90">
        <f t="shared" si="53"/>
        <v>4.0243617750383187</v>
      </c>
      <c r="BD14" s="87">
        <f t="shared" si="54"/>
        <v>0.5</v>
      </c>
      <c r="BE14" s="87">
        <f t="shared" si="55"/>
        <v>11.74</v>
      </c>
      <c r="BF14" s="87">
        <f t="shared" si="56"/>
        <v>0.33600000000000002</v>
      </c>
      <c r="BG14" s="90">
        <f t="shared" si="57"/>
        <v>1.1783399766300002</v>
      </c>
      <c r="BH14" s="91">
        <f t="shared" si="58"/>
        <v>0</v>
      </c>
      <c r="BI14" s="91">
        <f t="shared" si="59"/>
        <v>0</v>
      </c>
      <c r="BJ14" s="91">
        <f t="shared" si="60"/>
        <v>17.534821080803574</v>
      </c>
      <c r="BK14" s="91">
        <f t="shared" si="61"/>
        <v>52.604463242410723</v>
      </c>
      <c r="BL14" s="87">
        <f t="shared" si="62"/>
        <v>0</v>
      </c>
      <c r="BM14" s="87">
        <f>0</f>
        <v>0</v>
      </c>
      <c r="BN14" s="92">
        <f t="shared" si="63"/>
        <v>10</v>
      </c>
      <c r="BO14" s="87">
        <f t="shared" si="64"/>
        <v>123</v>
      </c>
      <c r="BP14" s="87">
        <f t="shared" si="65"/>
        <v>403.1139338200544</v>
      </c>
      <c r="BQ14" s="87">
        <f t="shared" si="66"/>
        <v>0</v>
      </c>
      <c r="BR14" s="111">
        <f t="shared" si="67"/>
        <v>1.23E-2</v>
      </c>
      <c r="BS14" s="92">
        <f t="shared" si="68"/>
        <v>4.9499649832971324E-2</v>
      </c>
      <c r="BT14" s="87">
        <f t="shared" si="69"/>
        <v>49499.649832971321</v>
      </c>
      <c r="BU14" s="91">
        <f t="shared" si="70"/>
        <v>42.007952555881296</v>
      </c>
      <c r="BV14" s="93">
        <f t="shared" si="71"/>
        <v>105.41676044570301</v>
      </c>
      <c r="BW14" s="93">
        <f t="shared" si="72"/>
        <v>316.25028133710902</v>
      </c>
      <c r="BX14" s="91">
        <f t="shared" si="73"/>
        <v>8.1121057578585614</v>
      </c>
      <c r="BY14" s="91">
        <f t="shared" si="74"/>
        <v>0.30250863939647299</v>
      </c>
      <c r="BZ14" s="91">
        <f t="shared" si="75"/>
        <v>0</v>
      </c>
      <c r="CA14" s="91">
        <f>Table2[[#This Row],[sed_del_kg_gullied]]-Table2[[#This Row],[sed_del_kg_no_gully]]</f>
        <v>0</v>
      </c>
      <c r="CB14" s="91">
        <f t="shared" si="76"/>
        <v>37.919099919196427</v>
      </c>
      <c r="CC14" s="91">
        <f t="shared" si="77"/>
        <v>2.8494577575892777</v>
      </c>
      <c r="CD14" s="91">
        <f>IF(Gullying!$BM14=1,Gullying!$CC14,Gullying!$CB14)</f>
        <v>37.919099919196427</v>
      </c>
    </row>
    <row r="15" spans="1:82" x14ac:dyDescent="0.4">
      <c r="A15" s="21">
        <v>72</v>
      </c>
      <c r="B15" s="21" t="s">
        <v>94</v>
      </c>
      <c r="C15" s="21">
        <v>52.988652999999999</v>
      </c>
      <c r="D15" s="21">
        <v>619792.9</v>
      </c>
      <c r="E15" s="21">
        <v>6081514</v>
      </c>
      <c r="F15" s="21">
        <v>753.5</v>
      </c>
      <c r="G15" s="21">
        <v>13</v>
      </c>
      <c r="H15" s="21">
        <v>0</v>
      </c>
      <c r="I15" s="21">
        <v>52</v>
      </c>
      <c r="J15" s="21">
        <v>0</v>
      </c>
      <c r="K15" s="21">
        <v>100</v>
      </c>
      <c r="L15" s="21">
        <v>2.8</v>
      </c>
      <c r="M15" s="21">
        <v>100</v>
      </c>
      <c r="N15" s="21">
        <v>0</v>
      </c>
      <c r="O15" s="35">
        <v>8</v>
      </c>
      <c r="P15" s="21">
        <v>90</v>
      </c>
      <c r="Q15" s="4">
        <v>781.16</v>
      </c>
      <c r="R15" s="4">
        <v>30.899999619999999</v>
      </c>
      <c r="S15" s="107">
        <f t="shared" si="18"/>
        <v>145.6</v>
      </c>
      <c r="T15" s="90">
        <f t="shared" si="19"/>
        <v>2.8192668236646963</v>
      </c>
      <c r="U15" s="91">
        <f t="shared" si="20"/>
        <v>479.0637072961631</v>
      </c>
      <c r="V15" s="91">
        <f t="shared" si="21"/>
        <v>374225.40559147077</v>
      </c>
      <c r="W15" s="87">
        <f t="shared" si="22"/>
        <v>3742254055.9147077</v>
      </c>
      <c r="X15" s="90">
        <f t="shared" si="23"/>
        <v>3.7422540559147075</v>
      </c>
      <c r="Y15" s="87">
        <f t="shared" si="24"/>
        <v>0.5</v>
      </c>
      <c r="Z15" s="87">
        <f t="shared" si="25"/>
        <v>11.74</v>
      </c>
      <c r="AA15" s="87">
        <f t="shared" si="26"/>
        <v>0.33600000000000002</v>
      </c>
      <c r="AB15" s="90">
        <f t="shared" si="27"/>
        <v>1.3948479723359999</v>
      </c>
      <c r="AC15" s="91">
        <f t="shared" si="28"/>
        <v>0</v>
      </c>
      <c r="AD15" s="91">
        <f t="shared" si="29"/>
        <v>0.20790214513599964</v>
      </c>
      <c r="AE15" s="91">
        <f t="shared" si="30"/>
        <v>20.756666254999995</v>
      </c>
      <c r="AF15" s="91">
        <f t="shared" si="31"/>
        <v>62.269998764999983</v>
      </c>
      <c r="AG15" s="87">
        <f t="shared" si="32"/>
        <v>0</v>
      </c>
      <c r="AH15" s="87">
        <f>1</f>
        <v>1</v>
      </c>
      <c r="AI15" s="92">
        <f t="shared" si="33"/>
        <v>8</v>
      </c>
      <c r="AJ15" s="87">
        <f t="shared" si="34"/>
        <v>145.6</v>
      </c>
      <c r="AK15" s="87">
        <f t="shared" si="35"/>
        <v>502.97075740294036</v>
      </c>
      <c r="AL15" s="87">
        <f t="shared" si="36"/>
        <v>0.20790214513599964</v>
      </c>
      <c r="AM15" s="111">
        <f t="shared" si="37"/>
        <v>1.456E-2</v>
      </c>
      <c r="AN15" s="92">
        <f t="shared" si="38"/>
        <v>5.4487219054118144E-2</v>
      </c>
      <c r="AO15" s="87">
        <f t="shared" si="39"/>
        <v>54487.219054118141</v>
      </c>
      <c r="AP15" s="91">
        <f t="shared" si="40"/>
        <v>39.063195512889138</v>
      </c>
      <c r="AQ15" s="93">
        <f t="shared" si="41"/>
        <v>85.09499606700372</v>
      </c>
      <c r="AR15" s="93">
        <f t="shared" si="42"/>
        <v>255.28498820101112</v>
      </c>
      <c r="AS15" s="91">
        <f t="shared" si="43"/>
        <v>10.357374663132401</v>
      </c>
      <c r="AT15" s="91">
        <f t="shared" si="44"/>
        <v>0.72813771227086499</v>
      </c>
      <c r="AU15" s="91">
        <f t="shared" si="45"/>
        <v>2.1533204104424777</v>
      </c>
      <c r="AV15" s="91">
        <f t="shared" si="46"/>
        <v>32.231986745</v>
      </c>
      <c r="AW15" s="91">
        <f t="shared" si="47"/>
        <v>0</v>
      </c>
      <c r="AX15" s="107">
        <f t="shared" si="48"/>
        <v>145.6</v>
      </c>
      <c r="AY15" s="90">
        <f t="shared" si="49"/>
        <v>2.8192668236646963</v>
      </c>
      <c r="AZ15" s="91">
        <f t="shared" si="50"/>
        <v>479.0637072961631</v>
      </c>
      <c r="BA15" s="91">
        <f t="shared" si="51"/>
        <v>374225.40559147077</v>
      </c>
      <c r="BB15" s="87">
        <f t="shared" si="52"/>
        <v>3742254055.9147077</v>
      </c>
      <c r="BC15" s="90">
        <f t="shared" si="53"/>
        <v>3.7422540559147075</v>
      </c>
      <c r="BD15" s="87">
        <f t="shared" si="54"/>
        <v>0.5</v>
      </c>
      <c r="BE15" s="87">
        <f t="shared" si="55"/>
        <v>11.74</v>
      </c>
      <c r="BF15" s="87">
        <f t="shared" si="56"/>
        <v>0.33600000000000002</v>
      </c>
      <c r="BG15" s="90">
        <f t="shared" si="57"/>
        <v>1.3948479723359999</v>
      </c>
      <c r="BH15" s="91">
        <f t="shared" si="58"/>
        <v>0</v>
      </c>
      <c r="BI15" s="91">
        <f t="shared" si="59"/>
        <v>0.20790214513599964</v>
      </c>
      <c r="BJ15" s="91">
        <f t="shared" si="60"/>
        <v>20.756666254999995</v>
      </c>
      <c r="BK15" s="91">
        <f t="shared" si="61"/>
        <v>62.269998764999983</v>
      </c>
      <c r="BL15" s="87">
        <f t="shared" si="62"/>
        <v>0</v>
      </c>
      <c r="BM15" s="87">
        <f>0</f>
        <v>0</v>
      </c>
      <c r="BN15" s="92">
        <f t="shared" si="63"/>
        <v>8</v>
      </c>
      <c r="BO15" s="87">
        <f t="shared" si="64"/>
        <v>145.6</v>
      </c>
      <c r="BP15" s="87">
        <f t="shared" si="65"/>
        <v>502.97075740294036</v>
      </c>
      <c r="BQ15" s="87">
        <f t="shared" si="66"/>
        <v>0</v>
      </c>
      <c r="BR15" s="111">
        <f t="shared" si="67"/>
        <v>1.456E-2</v>
      </c>
      <c r="BS15" s="92">
        <f t="shared" si="68"/>
        <v>5.4487219054118144E-2</v>
      </c>
      <c r="BT15" s="87">
        <f t="shared" si="69"/>
        <v>54487.219054118141</v>
      </c>
      <c r="BU15" s="91">
        <f t="shared" si="70"/>
        <v>39.063195512889138</v>
      </c>
      <c r="BV15" s="93">
        <f t="shared" si="71"/>
        <v>85.09499606700372</v>
      </c>
      <c r="BW15" s="93">
        <f t="shared" si="72"/>
        <v>255.28498820101112</v>
      </c>
      <c r="BX15" s="91">
        <f t="shared" si="73"/>
        <v>10.357374663132401</v>
      </c>
      <c r="BY15" s="91">
        <f t="shared" si="74"/>
        <v>0.72813771227086499</v>
      </c>
      <c r="BZ15" s="91">
        <f t="shared" si="75"/>
        <v>0</v>
      </c>
      <c r="CA15" s="91">
        <f>Table2[[#This Row],[sed_del_kg_gullied]]-Table2[[#This Row],[sed_del_kg_no_gully]]</f>
        <v>2.1533204104424777</v>
      </c>
      <c r="CB15" s="91">
        <f t="shared" si="76"/>
        <v>32.231986745</v>
      </c>
      <c r="CC15" s="91">
        <f t="shared" si="77"/>
        <v>0</v>
      </c>
      <c r="CD15" s="91">
        <f>IF(Gullying!$BM15=1,Gullying!$CC15,Gullying!$CB15)</f>
        <v>32.231986745</v>
      </c>
    </row>
    <row r="16" spans="1:82" x14ac:dyDescent="0.4">
      <c r="A16" s="21">
        <v>123</v>
      </c>
      <c r="B16" s="21" t="s">
        <v>94</v>
      </c>
      <c r="C16" s="21">
        <v>63.482765999999998</v>
      </c>
      <c r="D16" s="21">
        <v>620528.4</v>
      </c>
      <c r="E16" s="21">
        <v>6082716.4000000004</v>
      </c>
      <c r="F16" s="21">
        <v>754.3</v>
      </c>
      <c r="G16" s="21">
        <v>13</v>
      </c>
      <c r="H16" s="21">
        <v>0</v>
      </c>
      <c r="I16" s="21">
        <v>38.299999999999997</v>
      </c>
      <c r="J16" s="21">
        <v>0</v>
      </c>
      <c r="K16" s="21">
        <v>100</v>
      </c>
      <c r="L16" s="21">
        <v>3.2</v>
      </c>
      <c r="M16" s="21">
        <v>100</v>
      </c>
      <c r="N16" s="21">
        <v>0</v>
      </c>
      <c r="O16" s="35">
        <v>12</v>
      </c>
      <c r="P16" s="21">
        <v>90</v>
      </c>
      <c r="Q16" s="4">
        <v>781.16</v>
      </c>
      <c r="R16" s="4">
        <v>30.899999619999999</v>
      </c>
      <c r="S16" s="107">
        <f t="shared" si="18"/>
        <v>122.56</v>
      </c>
      <c r="T16" s="90">
        <f t="shared" si="19"/>
        <v>2.8192668236646963</v>
      </c>
      <c r="U16" s="91">
        <f t="shared" si="20"/>
        <v>479.0637072961631</v>
      </c>
      <c r="V16" s="91">
        <f t="shared" si="21"/>
        <v>374225.40559147077</v>
      </c>
      <c r="W16" s="87">
        <f t="shared" si="22"/>
        <v>3742254055.9147077</v>
      </c>
      <c r="X16" s="90">
        <f t="shared" si="23"/>
        <v>3.7422540559147075</v>
      </c>
      <c r="Y16" s="87">
        <f t="shared" si="24"/>
        <v>0.5</v>
      </c>
      <c r="Z16" s="87">
        <f t="shared" si="25"/>
        <v>11.74</v>
      </c>
      <c r="AA16" s="87">
        <f t="shared" si="26"/>
        <v>0.33600000000000002</v>
      </c>
      <c r="AB16" s="90">
        <f t="shared" si="27"/>
        <v>1.1741247767136</v>
      </c>
      <c r="AC16" s="91">
        <f t="shared" si="28"/>
        <v>0</v>
      </c>
      <c r="AD16" s="91">
        <f t="shared" si="29"/>
        <v>0</v>
      </c>
      <c r="AE16" s="91">
        <f t="shared" si="30"/>
        <v>17.472094891571427</v>
      </c>
      <c r="AF16" s="91">
        <f t="shared" si="31"/>
        <v>52.416284674714277</v>
      </c>
      <c r="AG16" s="87">
        <f t="shared" si="32"/>
        <v>0</v>
      </c>
      <c r="AH16" s="87">
        <f>1</f>
        <v>1</v>
      </c>
      <c r="AI16" s="92">
        <f t="shared" si="33"/>
        <v>12</v>
      </c>
      <c r="AJ16" s="87">
        <f t="shared" si="34"/>
        <v>122.56</v>
      </c>
      <c r="AK16" s="87">
        <f t="shared" si="35"/>
        <v>336.68140413208914</v>
      </c>
      <c r="AL16" s="87">
        <f t="shared" si="36"/>
        <v>0</v>
      </c>
      <c r="AM16" s="111">
        <f t="shared" si="37"/>
        <v>1.2256E-2</v>
      </c>
      <c r="AN16" s="92">
        <f t="shared" si="38"/>
        <v>4.5865065709290651E-2</v>
      </c>
      <c r="AO16" s="87">
        <f t="shared" si="39"/>
        <v>45865.065709290648</v>
      </c>
      <c r="AP16" s="91">
        <f t="shared" si="40"/>
        <v>39.063195512889124</v>
      </c>
      <c r="AQ16" s="93">
        <f t="shared" si="41"/>
        <v>121.1126778518589</v>
      </c>
      <c r="AR16" s="93">
        <f t="shared" si="42"/>
        <v>363.33803355557677</v>
      </c>
      <c r="AS16" s="91">
        <f t="shared" si="43"/>
        <v>5.9051388183188482</v>
      </c>
      <c r="AT16" s="91">
        <f t="shared" si="44"/>
        <v>0.13494437924972288</v>
      </c>
      <c r="AU16" s="91">
        <f t="shared" si="45"/>
        <v>0</v>
      </c>
      <c r="AV16" s="91">
        <f t="shared" si="46"/>
        <v>46.010671108428568</v>
      </c>
      <c r="AW16" s="91">
        <f t="shared" si="47"/>
        <v>11.066481325285721</v>
      </c>
      <c r="AX16" s="107">
        <f t="shared" si="48"/>
        <v>122.56</v>
      </c>
      <c r="AY16" s="90">
        <f t="shared" si="49"/>
        <v>2.8192668236646963</v>
      </c>
      <c r="AZ16" s="91">
        <f t="shared" si="50"/>
        <v>479.0637072961631</v>
      </c>
      <c r="BA16" s="91">
        <f t="shared" si="51"/>
        <v>374225.40559147077</v>
      </c>
      <c r="BB16" s="87">
        <f t="shared" si="52"/>
        <v>3742254055.9147077</v>
      </c>
      <c r="BC16" s="90">
        <f t="shared" si="53"/>
        <v>3.7422540559147075</v>
      </c>
      <c r="BD16" s="87">
        <f t="shared" si="54"/>
        <v>0.5</v>
      </c>
      <c r="BE16" s="87">
        <f t="shared" si="55"/>
        <v>11.74</v>
      </c>
      <c r="BF16" s="87">
        <f t="shared" si="56"/>
        <v>0.33600000000000002</v>
      </c>
      <c r="BG16" s="90">
        <f t="shared" si="57"/>
        <v>1.1741247767136</v>
      </c>
      <c r="BH16" s="91">
        <f t="shared" si="58"/>
        <v>0</v>
      </c>
      <c r="BI16" s="91">
        <f t="shared" si="59"/>
        <v>0</v>
      </c>
      <c r="BJ16" s="91">
        <f t="shared" si="60"/>
        <v>17.472094891571427</v>
      </c>
      <c r="BK16" s="91">
        <f t="shared" si="61"/>
        <v>52.416284674714277</v>
      </c>
      <c r="BL16" s="87">
        <f t="shared" si="62"/>
        <v>0</v>
      </c>
      <c r="BM16" s="87">
        <f>0</f>
        <v>0</v>
      </c>
      <c r="BN16" s="92">
        <f t="shared" si="63"/>
        <v>12</v>
      </c>
      <c r="BO16" s="87">
        <f t="shared" si="64"/>
        <v>122.56</v>
      </c>
      <c r="BP16" s="87">
        <f t="shared" si="65"/>
        <v>336.68140413208914</v>
      </c>
      <c r="BQ16" s="87">
        <f t="shared" si="66"/>
        <v>0</v>
      </c>
      <c r="BR16" s="111">
        <f t="shared" si="67"/>
        <v>1.2256E-2</v>
      </c>
      <c r="BS16" s="92">
        <f t="shared" si="68"/>
        <v>4.5865065709290651E-2</v>
      </c>
      <c r="BT16" s="87">
        <f t="shared" si="69"/>
        <v>45865.065709290648</v>
      </c>
      <c r="BU16" s="91">
        <f t="shared" si="70"/>
        <v>39.063195512889124</v>
      </c>
      <c r="BV16" s="93">
        <f t="shared" si="71"/>
        <v>121.1126778518589</v>
      </c>
      <c r="BW16" s="93">
        <f t="shared" si="72"/>
        <v>363.33803355557677</v>
      </c>
      <c r="BX16" s="91">
        <f t="shared" si="73"/>
        <v>5.9051388183188482</v>
      </c>
      <c r="BY16" s="91">
        <f t="shared" si="74"/>
        <v>0.13494437924972288</v>
      </c>
      <c r="BZ16" s="91">
        <f t="shared" si="75"/>
        <v>0</v>
      </c>
      <c r="CA16" s="91">
        <f>Table2[[#This Row],[sed_del_kg_gullied]]-Table2[[#This Row],[sed_del_kg_no_gully]]</f>
        <v>0</v>
      </c>
      <c r="CB16" s="91">
        <f t="shared" si="76"/>
        <v>46.010671108428568</v>
      </c>
      <c r="CC16" s="91">
        <f t="shared" si="77"/>
        <v>11.066481325285721</v>
      </c>
      <c r="CD16" s="91">
        <f>IF(Gullying!$BM16=1,Gullying!$CC16,Gullying!$CB16)</f>
        <v>46.010671108428568</v>
      </c>
    </row>
    <row r="17" spans="1:82" x14ac:dyDescent="0.4">
      <c r="A17" s="21">
        <v>70</v>
      </c>
      <c r="B17" s="21" t="s">
        <v>94</v>
      </c>
      <c r="C17" s="21">
        <v>69.882838000000007</v>
      </c>
      <c r="D17" s="21">
        <v>619730.69999999995</v>
      </c>
      <c r="E17" s="21">
        <v>6081493.4000000004</v>
      </c>
      <c r="F17" s="21">
        <v>755</v>
      </c>
      <c r="G17" s="21">
        <v>7</v>
      </c>
      <c r="H17" s="21">
        <v>0</v>
      </c>
      <c r="I17" s="21">
        <v>22.29</v>
      </c>
      <c r="J17" s="21">
        <v>0</v>
      </c>
      <c r="K17" s="21">
        <v>100</v>
      </c>
      <c r="L17" s="21">
        <v>2.2999999999999998</v>
      </c>
      <c r="M17" s="21">
        <v>100</v>
      </c>
      <c r="N17" s="21">
        <v>1</v>
      </c>
      <c r="O17" s="35">
        <v>12</v>
      </c>
      <c r="P17" s="21">
        <v>90</v>
      </c>
      <c r="Q17" s="4">
        <v>781.16</v>
      </c>
      <c r="R17" s="4">
        <v>30.899999619999999</v>
      </c>
      <c r="S17" s="107">
        <f t="shared" si="18"/>
        <v>51.266999999999996</v>
      </c>
      <c r="T17" s="90">
        <f t="shared" si="19"/>
        <v>2.1392813062306222</v>
      </c>
      <c r="U17" s="91">
        <f t="shared" si="20"/>
        <v>421.47573382467135</v>
      </c>
      <c r="V17" s="91">
        <f t="shared" si="21"/>
        <v>329239.98423448025</v>
      </c>
      <c r="W17" s="87">
        <f t="shared" si="22"/>
        <v>3292399842.3448024</v>
      </c>
      <c r="X17" s="90">
        <f t="shared" si="23"/>
        <v>3.2923998423448024</v>
      </c>
      <c r="Y17" s="87">
        <f t="shared" si="24"/>
        <v>0.5</v>
      </c>
      <c r="Z17" s="87">
        <f t="shared" si="25"/>
        <v>11.74</v>
      </c>
      <c r="AA17" s="87">
        <f t="shared" si="26"/>
        <v>0.33600000000000002</v>
      </c>
      <c r="AB17" s="90">
        <f t="shared" si="27"/>
        <v>0.49113785025926993</v>
      </c>
      <c r="AC17" s="91">
        <f t="shared" si="28"/>
        <v>0</v>
      </c>
      <c r="AD17" s="91">
        <f t="shared" si="29"/>
        <v>0</v>
      </c>
      <c r="AE17" s="91">
        <f t="shared" si="30"/>
        <v>7.3085989621915157</v>
      </c>
      <c r="AF17" s="91">
        <f t="shared" si="31"/>
        <v>21.925796886574545</v>
      </c>
      <c r="AG17" s="87">
        <f t="shared" si="32"/>
        <v>0</v>
      </c>
      <c r="AH17" s="87">
        <f>1</f>
        <v>1</v>
      </c>
      <c r="AI17" s="92">
        <f t="shared" si="33"/>
        <v>12</v>
      </c>
      <c r="AJ17" s="87">
        <f t="shared" si="34"/>
        <v>51.266999999999996</v>
      </c>
      <c r="AK17" s="87">
        <f t="shared" si="35"/>
        <v>336.68140413208914</v>
      </c>
      <c r="AL17" s="87">
        <f t="shared" si="36"/>
        <v>0</v>
      </c>
      <c r="AM17" s="111">
        <f t="shared" si="37"/>
        <v>5.1266999999999997E-3</v>
      </c>
      <c r="AN17" s="92">
        <f t="shared" si="38"/>
        <v>1.6879146271749097E-2</v>
      </c>
      <c r="AO17" s="87">
        <f t="shared" si="39"/>
        <v>16879.146271749098</v>
      </c>
      <c r="AP17" s="91">
        <f t="shared" si="40"/>
        <v>34.367431186251792</v>
      </c>
      <c r="AQ17" s="93">
        <f t="shared" si="41"/>
        <v>318.72427880963443</v>
      </c>
      <c r="AR17" s="93">
        <f t="shared" si="42"/>
        <v>956.17283642890334</v>
      </c>
      <c r="AS17" s="91">
        <f t="shared" si="43"/>
        <v>0.2381178877270303</v>
      </c>
      <c r="AT17" s="91">
        <f t="shared" si="44"/>
        <v>1.1430939355274493E-5</v>
      </c>
      <c r="AU17" s="91">
        <f t="shared" si="45"/>
        <v>0</v>
      </c>
      <c r="AV17" s="91">
        <f t="shared" si="46"/>
        <v>62.574239037808489</v>
      </c>
      <c r="AW17" s="91">
        <f t="shared" si="47"/>
        <v>47.957041113425461</v>
      </c>
      <c r="AX17" s="107">
        <f t="shared" si="48"/>
        <v>51.266999999999996</v>
      </c>
      <c r="AY17" s="90">
        <f t="shared" si="49"/>
        <v>2.1392813062306222</v>
      </c>
      <c r="AZ17" s="91">
        <f t="shared" si="50"/>
        <v>421.47573382467135</v>
      </c>
      <c r="BA17" s="91">
        <f t="shared" si="51"/>
        <v>329239.98423448025</v>
      </c>
      <c r="BB17" s="87">
        <f t="shared" si="52"/>
        <v>3292399842.3448024</v>
      </c>
      <c r="BC17" s="90">
        <f t="shared" si="53"/>
        <v>3.2923998423448024</v>
      </c>
      <c r="BD17" s="87">
        <f t="shared" si="54"/>
        <v>0.5</v>
      </c>
      <c r="BE17" s="87">
        <f t="shared" si="55"/>
        <v>11.74</v>
      </c>
      <c r="BF17" s="87">
        <f t="shared" si="56"/>
        <v>0.33600000000000002</v>
      </c>
      <c r="BG17" s="90">
        <f t="shared" si="57"/>
        <v>0.49113785025926993</v>
      </c>
      <c r="BH17" s="91">
        <f t="shared" si="58"/>
        <v>0</v>
      </c>
      <c r="BI17" s="91">
        <f t="shared" si="59"/>
        <v>0</v>
      </c>
      <c r="BJ17" s="91">
        <f t="shared" si="60"/>
        <v>7.3085989621915157</v>
      </c>
      <c r="BK17" s="91">
        <f t="shared" si="61"/>
        <v>21.925796886574545</v>
      </c>
      <c r="BL17" s="87">
        <f t="shared" si="62"/>
        <v>0</v>
      </c>
      <c r="BM17" s="87">
        <f>0</f>
        <v>0</v>
      </c>
      <c r="BN17" s="92">
        <f t="shared" si="63"/>
        <v>12</v>
      </c>
      <c r="BO17" s="87">
        <f t="shared" si="64"/>
        <v>51.266999999999996</v>
      </c>
      <c r="BP17" s="87">
        <f t="shared" si="65"/>
        <v>336.68140413208914</v>
      </c>
      <c r="BQ17" s="87">
        <f t="shared" si="66"/>
        <v>0</v>
      </c>
      <c r="BR17" s="111">
        <f t="shared" si="67"/>
        <v>5.1266999999999997E-3</v>
      </c>
      <c r="BS17" s="92">
        <f t="shared" si="68"/>
        <v>1.6879146271749097E-2</v>
      </c>
      <c r="BT17" s="87">
        <f t="shared" si="69"/>
        <v>16879.146271749098</v>
      </c>
      <c r="BU17" s="91">
        <f t="shared" si="70"/>
        <v>34.367431186251792</v>
      </c>
      <c r="BV17" s="93">
        <f t="shared" si="71"/>
        <v>318.72427880963443</v>
      </c>
      <c r="BW17" s="93">
        <f t="shared" si="72"/>
        <v>956.17283642890334</v>
      </c>
      <c r="BX17" s="91">
        <f t="shared" si="73"/>
        <v>0.2381178877270303</v>
      </c>
      <c r="BY17" s="91">
        <f t="shared" si="74"/>
        <v>1.1430939355274493E-5</v>
      </c>
      <c r="BZ17" s="91">
        <f t="shared" si="75"/>
        <v>0</v>
      </c>
      <c r="CA17" s="91">
        <f>Table2[[#This Row],[sed_del_kg_gullied]]-Table2[[#This Row],[sed_del_kg_no_gully]]</f>
        <v>0</v>
      </c>
      <c r="CB17" s="91">
        <f t="shared" si="76"/>
        <v>62.574239037808489</v>
      </c>
      <c r="CC17" s="91">
        <f t="shared" si="77"/>
        <v>47.957041113425461</v>
      </c>
      <c r="CD17" s="91">
        <f>IF(Gullying!$BM17=1,Gullying!$CC17,Gullying!$CB17)</f>
        <v>62.574239037808489</v>
      </c>
    </row>
    <row r="18" spans="1:82" x14ac:dyDescent="0.4">
      <c r="A18" s="21">
        <v>124</v>
      </c>
      <c r="B18" s="21" t="s">
        <v>94</v>
      </c>
      <c r="C18" s="21">
        <v>41.167093000000001</v>
      </c>
      <c r="D18" s="21">
        <v>620561.4</v>
      </c>
      <c r="E18" s="21">
        <v>6082696.7999999998</v>
      </c>
      <c r="F18" s="21">
        <v>760.8</v>
      </c>
      <c r="G18" s="21">
        <v>17</v>
      </c>
      <c r="H18" s="21">
        <v>0</v>
      </c>
      <c r="I18" s="21">
        <v>72</v>
      </c>
      <c r="J18" s="21">
        <v>0</v>
      </c>
      <c r="K18" s="21">
        <v>100</v>
      </c>
      <c r="L18" s="21">
        <v>4</v>
      </c>
      <c r="M18" s="21">
        <v>100</v>
      </c>
      <c r="N18" s="21">
        <v>0</v>
      </c>
      <c r="O18" s="35">
        <v>13</v>
      </c>
      <c r="P18" s="21">
        <v>90</v>
      </c>
      <c r="Q18" s="4">
        <v>781.16</v>
      </c>
      <c r="R18" s="4">
        <v>30.899999619999999</v>
      </c>
      <c r="S18" s="107">
        <f t="shared" si="18"/>
        <v>288</v>
      </c>
      <c r="T18" s="90">
        <f t="shared" si="19"/>
        <v>3.2456920022533735</v>
      </c>
      <c r="U18" s="91">
        <f t="shared" si="20"/>
        <v>515.17765567083813</v>
      </c>
      <c r="V18" s="91">
        <f t="shared" si="21"/>
        <v>402436.17750383192</v>
      </c>
      <c r="W18" s="87">
        <f t="shared" si="22"/>
        <v>4024361775.0383191</v>
      </c>
      <c r="X18" s="90">
        <f t="shared" si="23"/>
        <v>4.0243617750383187</v>
      </c>
      <c r="Y18" s="87">
        <f t="shared" si="24"/>
        <v>0.5</v>
      </c>
      <c r="Z18" s="87">
        <f t="shared" si="25"/>
        <v>11.74</v>
      </c>
      <c r="AA18" s="87">
        <f t="shared" si="26"/>
        <v>0.33600000000000002</v>
      </c>
      <c r="AB18" s="90">
        <f t="shared" si="27"/>
        <v>2.7590399452800001</v>
      </c>
      <c r="AC18" s="91">
        <f t="shared" si="28"/>
        <v>0</v>
      </c>
      <c r="AD18" s="91">
        <f t="shared" si="29"/>
        <v>1.8368970620799996</v>
      </c>
      <c r="AE18" s="91">
        <f t="shared" si="30"/>
        <v>41.057142042857137</v>
      </c>
      <c r="AF18" s="91">
        <f t="shared" si="31"/>
        <v>123.17142612857141</v>
      </c>
      <c r="AG18" s="87">
        <f t="shared" si="32"/>
        <v>0</v>
      </c>
      <c r="AH18" s="87">
        <f>1</f>
        <v>1</v>
      </c>
      <c r="AI18" s="92">
        <f t="shared" si="33"/>
        <v>13</v>
      </c>
      <c r="AJ18" s="87">
        <f t="shared" si="34"/>
        <v>288</v>
      </c>
      <c r="AK18" s="87">
        <f t="shared" si="35"/>
        <v>311.17880378100608</v>
      </c>
      <c r="AL18" s="87">
        <f t="shared" si="36"/>
        <v>1.8368970620799996</v>
      </c>
      <c r="AM18" s="111">
        <f t="shared" si="37"/>
        <v>2.8799999999999999E-2</v>
      </c>
      <c r="AN18" s="92">
        <f t="shared" si="38"/>
        <v>0.11590161912110357</v>
      </c>
      <c r="AO18" s="87">
        <f t="shared" si="39"/>
        <v>115901.61912110356</v>
      </c>
      <c r="AP18" s="91">
        <f t="shared" si="40"/>
        <v>42.007952555881289</v>
      </c>
      <c r="AQ18" s="93">
        <f t="shared" si="41"/>
        <v>33.42259994377924</v>
      </c>
      <c r="AR18" s="93">
        <f t="shared" si="42"/>
        <v>100.26779983133774</v>
      </c>
      <c r="AS18" s="91">
        <f t="shared" si="43"/>
        <v>24.939836582515316</v>
      </c>
      <c r="AT18" s="91">
        <f t="shared" si="44"/>
        <v>8.7905850630789466</v>
      </c>
      <c r="AU18" s="91">
        <f t="shared" si="45"/>
        <v>45.811912547177684</v>
      </c>
      <c r="AV18" s="91">
        <f t="shared" si="46"/>
        <v>0.10995095714286407</v>
      </c>
      <c r="AW18" s="91">
        <f t="shared" si="47"/>
        <v>0</v>
      </c>
      <c r="AX18" s="107">
        <f t="shared" si="48"/>
        <v>288</v>
      </c>
      <c r="AY18" s="90">
        <f t="shared" si="49"/>
        <v>3.2456920022533735</v>
      </c>
      <c r="AZ18" s="91">
        <f t="shared" si="50"/>
        <v>515.17765567083813</v>
      </c>
      <c r="BA18" s="91">
        <f t="shared" si="51"/>
        <v>402436.17750383192</v>
      </c>
      <c r="BB18" s="87">
        <f t="shared" si="52"/>
        <v>4024361775.0383191</v>
      </c>
      <c r="BC18" s="90">
        <f t="shared" si="53"/>
        <v>4.0243617750383187</v>
      </c>
      <c r="BD18" s="87">
        <f t="shared" si="54"/>
        <v>0.5</v>
      </c>
      <c r="BE18" s="87">
        <f t="shared" si="55"/>
        <v>11.74</v>
      </c>
      <c r="BF18" s="87">
        <f t="shared" si="56"/>
        <v>0.33600000000000002</v>
      </c>
      <c r="BG18" s="90">
        <f t="shared" si="57"/>
        <v>2.7590399452800001</v>
      </c>
      <c r="BH18" s="91">
        <f t="shared" si="58"/>
        <v>0</v>
      </c>
      <c r="BI18" s="91">
        <f t="shared" si="59"/>
        <v>1.8368970620799996</v>
      </c>
      <c r="BJ18" s="91">
        <f t="shared" si="60"/>
        <v>41.057142042857137</v>
      </c>
      <c r="BK18" s="91">
        <f t="shared" si="61"/>
        <v>123.17142612857141</v>
      </c>
      <c r="BL18" s="87">
        <f t="shared" si="62"/>
        <v>0</v>
      </c>
      <c r="BM18" s="87">
        <f>0</f>
        <v>0</v>
      </c>
      <c r="BN18" s="92">
        <f t="shared" si="63"/>
        <v>13</v>
      </c>
      <c r="BO18" s="87">
        <f t="shared" si="64"/>
        <v>288</v>
      </c>
      <c r="BP18" s="87">
        <f t="shared" si="65"/>
        <v>311.17880378100608</v>
      </c>
      <c r="BQ18" s="87">
        <f t="shared" si="66"/>
        <v>0</v>
      </c>
      <c r="BR18" s="111">
        <f t="shared" si="67"/>
        <v>2.8799999999999999E-2</v>
      </c>
      <c r="BS18" s="92">
        <f t="shared" si="68"/>
        <v>0.11590161912110357</v>
      </c>
      <c r="BT18" s="87">
        <f t="shared" si="69"/>
        <v>115901.61912110356</v>
      </c>
      <c r="BU18" s="91">
        <f t="shared" si="70"/>
        <v>42.007952555881289</v>
      </c>
      <c r="BV18" s="93">
        <f t="shared" si="71"/>
        <v>33.42259994377924</v>
      </c>
      <c r="BW18" s="93">
        <f t="shared" si="72"/>
        <v>100.26779983133774</v>
      </c>
      <c r="BX18" s="91">
        <f t="shared" si="73"/>
        <v>24.939836582515316</v>
      </c>
      <c r="BY18" s="91">
        <f t="shared" si="74"/>
        <v>8.7905850630789466</v>
      </c>
      <c r="BZ18" s="91">
        <f t="shared" si="75"/>
        <v>0</v>
      </c>
      <c r="CA18" s="91">
        <f>Table2[[#This Row],[sed_del_kg_gullied]]-Table2[[#This Row],[sed_del_kg_no_gully]]</f>
        <v>45.811912547177684</v>
      </c>
      <c r="CB18" s="91">
        <f t="shared" si="76"/>
        <v>0.10995095714286407</v>
      </c>
      <c r="CC18" s="91">
        <f t="shared" si="77"/>
        <v>0</v>
      </c>
      <c r="CD18" s="91">
        <f>IF(Gullying!$BM18=1,Gullying!$CC18,Gullying!$CB18)</f>
        <v>0.10995095714286407</v>
      </c>
    </row>
    <row r="19" spans="1:82" x14ac:dyDescent="0.4">
      <c r="A19" s="21">
        <v>110</v>
      </c>
      <c r="B19" s="21" t="s">
        <v>94</v>
      </c>
      <c r="C19" s="21">
        <v>51.741317000000002</v>
      </c>
      <c r="D19" s="21">
        <v>620328.5</v>
      </c>
      <c r="E19" s="21">
        <v>6082493.2000000002</v>
      </c>
      <c r="F19" s="21">
        <v>763.8</v>
      </c>
      <c r="G19" s="21">
        <v>15</v>
      </c>
      <c r="H19" s="21">
        <v>0</v>
      </c>
      <c r="I19" s="21">
        <v>40.15</v>
      </c>
      <c r="J19" s="21">
        <v>0</v>
      </c>
      <c r="K19" s="21">
        <v>100</v>
      </c>
      <c r="L19" s="21">
        <v>4</v>
      </c>
      <c r="M19" s="21">
        <v>100</v>
      </c>
      <c r="N19" s="21">
        <v>0</v>
      </c>
      <c r="O19" s="35">
        <v>2</v>
      </c>
      <c r="P19" s="21">
        <v>90</v>
      </c>
      <c r="Q19" s="4">
        <v>781.16</v>
      </c>
      <c r="R19" s="4">
        <v>30.899999619999999</v>
      </c>
      <c r="S19" s="107">
        <f t="shared" si="18"/>
        <v>160.6</v>
      </c>
      <c r="T19" s="90">
        <f t="shared" si="19"/>
        <v>3.0375094525380737</v>
      </c>
      <c r="U19" s="91">
        <f t="shared" si="20"/>
        <v>497.54667553544948</v>
      </c>
      <c r="V19" s="91">
        <f t="shared" si="21"/>
        <v>388663.5610612717</v>
      </c>
      <c r="W19" s="87">
        <f t="shared" si="22"/>
        <v>3886635610.6127172</v>
      </c>
      <c r="X19" s="90">
        <f t="shared" si="23"/>
        <v>3.8866356106127173</v>
      </c>
      <c r="Y19" s="87">
        <f t="shared" si="24"/>
        <v>0.5</v>
      </c>
      <c r="Z19" s="87">
        <f t="shared" si="25"/>
        <v>11.74</v>
      </c>
      <c r="AA19" s="87">
        <f t="shared" si="26"/>
        <v>0.33600000000000002</v>
      </c>
      <c r="AB19" s="90">
        <f t="shared" si="27"/>
        <v>1.538547969486</v>
      </c>
      <c r="AC19" s="91">
        <f t="shared" si="28"/>
        <v>0</v>
      </c>
      <c r="AD19" s="91">
        <f t="shared" si="29"/>
        <v>0.37954246868599989</v>
      </c>
      <c r="AE19" s="91">
        <f t="shared" si="30"/>
        <v>22.895059069732142</v>
      </c>
      <c r="AF19" s="91">
        <f t="shared" si="31"/>
        <v>68.685177209196425</v>
      </c>
      <c r="AG19" s="87">
        <f t="shared" si="32"/>
        <v>0</v>
      </c>
      <c r="AH19" s="87">
        <f>1</f>
        <v>1</v>
      </c>
      <c r="AI19" s="92">
        <f t="shared" si="33"/>
        <v>2</v>
      </c>
      <c r="AJ19" s="87">
        <f t="shared" si="34"/>
        <v>160.6</v>
      </c>
      <c r="AK19" s="87">
        <f t="shared" si="35"/>
        <v>2005.7595843490676</v>
      </c>
      <c r="AL19" s="87">
        <f t="shared" si="36"/>
        <v>0.37954246868599989</v>
      </c>
      <c r="AM19" s="111">
        <f t="shared" si="37"/>
        <v>1.6059999999999998E-2</v>
      </c>
      <c r="AN19" s="92">
        <f t="shared" si="38"/>
        <v>6.2419367906440232E-2</v>
      </c>
      <c r="AO19" s="87">
        <f t="shared" si="39"/>
        <v>62419.367906440231</v>
      </c>
      <c r="AP19" s="91">
        <f t="shared" si="40"/>
        <v>40.570309892445778</v>
      </c>
      <c r="AQ19" s="93">
        <f t="shared" si="41"/>
        <v>75.331125436875539</v>
      </c>
      <c r="AR19" s="93">
        <f t="shared" si="42"/>
        <v>225.99337631062659</v>
      </c>
      <c r="AS19" s="91">
        <f t="shared" si="43"/>
        <v>12.526807636550743</v>
      </c>
      <c r="AT19" s="91">
        <f t="shared" si="44"/>
        <v>1.1942756431139954</v>
      </c>
      <c r="AU19" s="91">
        <f t="shared" si="45"/>
        <v>4.7544554951311042</v>
      </c>
      <c r="AV19" s="91">
        <f t="shared" si="46"/>
        <v>28.846257930267861</v>
      </c>
      <c r="AW19" s="91">
        <f t="shared" si="47"/>
        <v>0</v>
      </c>
      <c r="AX19" s="107">
        <f t="shared" si="48"/>
        <v>160.6</v>
      </c>
      <c r="AY19" s="90">
        <f t="shared" si="49"/>
        <v>3.0375094525380737</v>
      </c>
      <c r="AZ19" s="91">
        <f t="shared" si="50"/>
        <v>497.54667553544948</v>
      </c>
      <c r="BA19" s="91">
        <f t="shared" si="51"/>
        <v>388663.5610612717</v>
      </c>
      <c r="BB19" s="87">
        <f t="shared" si="52"/>
        <v>3886635610.6127172</v>
      </c>
      <c r="BC19" s="90">
        <f t="shared" si="53"/>
        <v>3.8866356106127173</v>
      </c>
      <c r="BD19" s="87">
        <f t="shared" si="54"/>
        <v>0.5</v>
      </c>
      <c r="BE19" s="87">
        <f t="shared" si="55"/>
        <v>11.74</v>
      </c>
      <c r="BF19" s="87">
        <f t="shared" si="56"/>
        <v>0.33600000000000002</v>
      </c>
      <c r="BG19" s="90">
        <f t="shared" si="57"/>
        <v>1.538547969486</v>
      </c>
      <c r="BH19" s="91">
        <f t="shared" si="58"/>
        <v>0</v>
      </c>
      <c r="BI19" s="91">
        <f t="shared" si="59"/>
        <v>0.37954246868599989</v>
      </c>
      <c r="BJ19" s="91">
        <f t="shared" si="60"/>
        <v>22.895059069732142</v>
      </c>
      <c r="BK19" s="91">
        <f t="shared" si="61"/>
        <v>68.685177209196425</v>
      </c>
      <c r="BL19" s="87">
        <f t="shared" si="62"/>
        <v>0</v>
      </c>
      <c r="BM19" s="87">
        <f>0</f>
        <v>0</v>
      </c>
      <c r="BN19" s="92">
        <f t="shared" si="63"/>
        <v>2</v>
      </c>
      <c r="BO19" s="87">
        <f t="shared" si="64"/>
        <v>160.6</v>
      </c>
      <c r="BP19" s="87">
        <f t="shared" si="65"/>
        <v>2005.7595843490676</v>
      </c>
      <c r="BQ19" s="87">
        <f t="shared" si="66"/>
        <v>0</v>
      </c>
      <c r="BR19" s="111">
        <f t="shared" si="67"/>
        <v>1.6059999999999998E-2</v>
      </c>
      <c r="BS19" s="92">
        <f t="shared" si="68"/>
        <v>6.2419367906440232E-2</v>
      </c>
      <c r="BT19" s="87">
        <f t="shared" si="69"/>
        <v>62419.367906440231</v>
      </c>
      <c r="BU19" s="91">
        <f t="shared" si="70"/>
        <v>40.570309892445778</v>
      </c>
      <c r="BV19" s="93">
        <f t="shared" si="71"/>
        <v>75.331125436875539</v>
      </c>
      <c r="BW19" s="93">
        <f t="shared" si="72"/>
        <v>225.99337631062659</v>
      </c>
      <c r="BX19" s="91">
        <f t="shared" si="73"/>
        <v>12.526807636550743</v>
      </c>
      <c r="BY19" s="91">
        <f t="shared" si="74"/>
        <v>1.1942756431139954</v>
      </c>
      <c r="BZ19" s="91">
        <f t="shared" si="75"/>
        <v>0</v>
      </c>
      <c r="CA19" s="91">
        <f>Table2[[#This Row],[sed_del_kg_gullied]]-Table2[[#This Row],[sed_del_kg_no_gully]]</f>
        <v>4.7544554951311042</v>
      </c>
      <c r="CB19" s="91">
        <f t="shared" si="76"/>
        <v>28.846257930267861</v>
      </c>
      <c r="CC19" s="91">
        <f t="shared" si="77"/>
        <v>0</v>
      </c>
      <c r="CD19" s="91">
        <f>IF(Gullying!$BM19=1,Gullying!$CC19,Gullying!$CB19)</f>
        <v>28.846257930267861</v>
      </c>
    </row>
    <row r="20" spans="1:82" x14ac:dyDescent="0.4">
      <c r="A20" s="21">
        <v>116</v>
      </c>
      <c r="B20" s="21" t="s">
        <v>94</v>
      </c>
      <c r="C20" s="21">
        <v>47.597133999999997</v>
      </c>
      <c r="D20" s="21">
        <v>620409.59999999998</v>
      </c>
      <c r="E20" s="21">
        <v>6082518.5999999996</v>
      </c>
      <c r="F20" s="21">
        <v>764</v>
      </c>
      <c r="G20" s="21">
        <v>15</v>
      </c>
      <c r="H20" s="21">
        <v>0</v>
      </c>
      <c r="I20" s="21">
        <v>132</v>
      </c>
      <c r="J20" s="21">
        <v>0</v>
      </c>
      <c r="K20" s="21">
        <v>100</v>
      </c>
      <c r="L20" s="21">
        <v>3</v>
      </c>
      <c r="M20" s="21">
        <v>100</v>
      </c>
      <c r="N20" s="21">
        <v>0</v>
      </c>
      <c r="O20" s="35">
        <v>20</v>
      </c>
      <c r="P20" s="21">
        <v>90</v>
      </c>
      <c r="Q20" s="4">
        <v>781.16</v>
      </c>
      <c r="R20" s="4">
        <v>30.899999619999999</v>
      </c>
      <c r="S20" s="107">
        <f t="shared" si="18"/>
        <v>396</v>
      </c>
      <c r="T20" s="90">
        <f t="shared" si="19"/>
        <v>3.0375094525380737</v>
      </c>
      <c r="U20" s="91">
        <f t="shared" si="20"/>
        <v>497.54667553544948</v>
      </c>
      <c r="V20" s="91">
        <f t="shared" si="21"/>
        <v>388663.5610612717</v>
      </c>
      <c r="W20" s="87">
        <f t="shared" si="22"/>
        <v>3886635610.6127172</v>
      </c>
      <c r="X20" s="90">
        <f t="shared" si="23"/>
        <v>3.8866356106127173</v>
      </c>
      <c r="Y20" s="87">
        <f t="shared" si="24"/>
        <v>0.5</v>
      </c>
      <c r="Z20" s="87">
        <f t="shared" si="25"/>
        <v>11.74</v>
      </c>
      <c r="AA20" s="87">
        <f t="shared" si="26"/>
        <v>0.33600000000000002</v>
      </c>
      <c r="AB20" s="90">
        <f t="shared" si="27"/>
        <v>3.7936799247600002</v>
      </c>
      <c r="AC20" s="91">
        <f t="shared" si="28"/>
        <v>0.59515251996000007</v>
      </c>
      <c r="AD20" s="91">
        <f t="shared" si="29"/>
        <v>2.7275041231600001</v>
      </c>
      <c r="AE20" s="91">
        <f t="shared" si="30"/>
        <v>56.453570308928569</v>
      </c>
      <c r="AF20" s="91">
        <f t="shared" si="31"/>
        <v>169.36071092678571</v>
      </c>
      <c r="AG20" s="87">
        <f t="shared" si="32"/>
        <v>1</v>
      </c>
      <c r="AH20" s="87">
        <f>1</f>
        <v>1</v>
      </c>
      <c r="AI20" s="92">
        <f t="shared" si="33"/>
        <v>20</v>
      </c>
      <c r="AJ20" s="87">
        <f t="shared" si="34"/>
        <v>396</v>
      </c>
      <c r="AK20" s="87">
        <f t="shared" si="35"/>
        <v>204.66630801141611</v>
      </c>
      <c r="AL20" s="87">
        <f t="shared" si="36"/>
        <v>2.7275041231600001</v>
      </c>
      <c r="AM20" s="111">
        <f t="shared" si="37"/>
        <v>3.9600000000000003E-2</v>
      </c>
      <c r="AN20" s="92">
        <f t="shared" si="38"/>
        <v>0.15391077018026361</v>
      </c>
      <c r="AO20" s="87">
        <f t="shared" si="39"/>
        <v>153910.77018026361</v>
      </c>
      <c r="AP20" s="91">
        <f t="shared" si="40"/>
        <v>40.570309892445785</v>
      </c>
      <c r="AQ20" s="93">
        <f t="shared" si="41"/>
        <v>28.103999882579693</v>
      </c>
      <c r="AR20" s="93">
        <f t="shared" si="42"/>
        <v>84.311999647739086</v>
      </c>
      <c r="AS20" s="91">
        <f t="shared" si="43"/>
        <v>26.170010492652448</v>
      </c>
      <c r="AT20" s="91">
        <f t="shared" si="44"/>
        <v>10.889176575099002</v>
      </c>
      <c r="AU20" s="91">
        <f t="shared" si="45"/>
        <v>71.378811521850025</v>
      </c>
      <c r="AV20" s="91">
        <f t="shared" si="46"/>
        <v>0</v>
      </c>
      <c r="AW20" s="91">
        <f t="shared" si="47"/>
        <v>0</v>
      </c>
      <c r="AX20" s="107">
        <f t="shared" si="48"/>
        <v>396</v>
      </c>
      <c r="AY20" s="90">
        <f t="shared" si="49"/>
        <v>3.0375094525380737</v>
      </c>
      <c r="AZ20" s="91">
        <f t="shared" si="50"/>
        <v>497.54667553544948</v>
      </c>
      <c r="BA20" s="91">
        <f t="shared" si="51"/>
        <v>388663.5610612717</v>
      </c>
      <c r="BB20" s="87">
        <f t="shared" si="52"/>
        <v>3886635610.6127172</v>
      </c>
      <c r="BC20" s="90">
        <f t="shared" si="53"/>
        <v>3.8866356106127173</v>
      </c>
      <c r="BD20" s="87">
        <f t="shared" si="54"/>
        <v>0.5</v>
      </c>
      <c r="BE20" s="87">
        <f t="shared" si="55"/>
        <v>11.74</v>
      </c>
      <c r="BF20" s="87">
        <f t="shared" si="56"/>
        <v>0.33600000000000002</v>
      </c>
      <c r="BG20" s="90">
        <f t="shared" si="57"/>
        <v>3.7936799247600002</v>
      </c>
      <c r="BH20" s="91">
        <f t="shared" si="58"/>
        <v>0.59515251996000007</v>
      </c>
      <c r="BI20" s="91">
        <f t="shared" si="59"/>
        <v>2.7275041231600001</v>
      </c>
      <c r="BJ20" s="91">
        <f t="shared" si="60"/>
        <v>56.453570308928569</v>
      </c>
      <c r="BK20" s="91">
        <f t="shared" si="61"/>
        <v>169.36071092678571</v>
      </c>
      <c r="BL20" s="87">
        <f t="shared" si="62"/>
        <v>1</v>
      </c>
      <c r="BM20" s="87">
        <f>0</f>
        <v>0</v>
      </c>
      <c r="BN20" s="92">
        <f t="shared" si="63"/>
        <v>20</v>
      </c>
      <c r="BO20" s="87">
        <f t="shared" si="64"/>
        <v>396</v>
      </c>
      <c r="BP20" s="87">
        <f t="shared" si="65"/>
        <v>204.66630801141611</v>
      </c>
      <c r="BQ20" s="87">
        <f t="shared" si="66"/>
        <v>0.59515251996000007</v>
      </c>
      <c r="BR20" s="111">
        <f t="shared" si="67"/>
        <v>3.9600000000000003E-2</v>
      </c>
      <c r="BS20" s="92">
        <f t="shared" si="68"/>
        <v>0.15391077018026361</v>
      </c>
      <c r="BT20" s="87">
        <f t="shared" si="69"/>
        <v>153910.77018026361</v>
      </c>
      <c r="BU20" s="91">
        <f t="shared" si="70"/>
        <v>40.570309892445785</v>
      </c>
      <c r="BV20" s="93">
        <f t="shared" si="71"/>
        <v>28.103999882579693</v>
      </c>
      <c r="BW20" s="93">
        <f t="shared" si="72"/>
        <v>84.311999647739086</v>
      </c>
      <c r="BX20" s="91">
        <f t="shared" si="73"/>
        <v>26.170010492652448</v>
      </c>
      <c r="BY20" s="91">
        <f t="shared" si="74"/>
        <v>10.889176575099002</v>
      </c>
      <c r="BZ20" s="91">
        <f t="shared" si="75"/>
        <v>6.4807208789595743</v>
      </c>
      <c r="CA20" s="91">
        <f>Table2[[#This Row],[sed_del_kg_gullied]]-Table2[[#This Row],[sed_del_kg_no_gully]]</f>
        <v>64.898090642890452</v>
      </c>
      <c r="CB20" s="91">
        <f t="shared" si="76"/>
        <v>0</v>
      </c>
      <c r="CC20" s="91">
        <f t="shared" si="77"/>
        <v>0</v>
      </c>
      <c r="CD20" s="91">
        <f>IF(Gullying!$BM20=1,Gullying!$CC20,Gullying!$CB20)</f>
        <v>0</v>
      </c>
    </row>
    <row r="21" spans="1:82" x14ac:dyDescent="0.4">
      <c r="A21" s="21">
        <v>114</v>
      </c>
      <c r="B21" s="21" t="s">
        <v>94</v>
      </c>
      <c r="C21" s="21">
        <v>21.892489000000001</v>
      </c>
      <c r="D21" s="21">
        <v>620386.19999999995</v>
      </c>
      <c r="E21" s="21">
        <v>6082482.4000000004</v>
      </c>
      <c r="F21" s="21">
        <v>764.1</v>
      </c>
      <c r="G21" s="21">
        <v>19</v>
      </c>
      <c r="H21" s="21">
        <v>0</v>
      </c>
      <c r="I21" s="21">
        <v>12.27</v>
      </c>
      <c r="J21" s="21">
        <v>0</v>
      </c>
      <c r="K21" s="21">
        <v>100</v>
      </c>
      <c r="L21" s="21">
        <v>3</v>
      </c>
      <c r="M21" s="21">
        <v>100</v>
      </c>
      <c r="N21" s="21">
        <v>1</v>
      </c>
      <c r="O21" s="35">
        <v>9</v>
      </c>
      <c r="P21" s="21">
        <v>90</v>
      </c>
      <c r="Q21" s="4">
        <v>781.16</v>
      </c>
      <c r="R21" s="4">
        <v>30.899999619999999</v>
      </c>
      <c r="S21" s="107">
        <f t="shared" si="18"/>
        <v>36.81</v>
      </c>
      <c r="T21" s="90">
        <f t="shared" si="19"/>
        <v>3.4412021192905757</v>
      </c>
      <c r="U21" s="91">
        <f t="shared" si="20"/>
        <v>531.73540748271887</v>
      </c>
      <c r="V21" s="91">
        <f t="shared" si="21"/>
        <v>415370.43090920063</v>
      </c>
      <c r="W21" s="87">
        <f t="shared" si="22"/>
        <v>4153704309.0920062</v>
      </c>
      <c r="X21" s="90">
        <f t="shared" si="23"/>
        <v>4.1537043090920065</v>
      </c>
      <c r="Y21" s="87">
        <f t="shared" si="24"/>
        <v>0.5</v>
      </c>
      <c r="Z21" s="87">
        <f t="shared" si="25"/>
        <v>11.74</v>
      </c>
      <c r="AA21" s="87">
        <f t="shared" si="26"/>
        <v>0.33600000000000002</v>
      </c>
      <c r="AB21" s="90">
        <f t="shared" si="27"/>
        <v>0.35263979300610004</v>
      </c>
      <c r="AC21" s="91">
        <f t="shared" si="28"/>
        <v>0</v>
      </c>
      <c r="AD21" s="91">
        <f t="shared" si="29"/>
        <v>0</v>
      </c>
      <c r="AE21" s="91">
        <f t="shared" si="30"/>
        <v>5.2476159673526785</v>
      </c>
      <c r="AF21" s="91">
        <f t="shared" si="31"/>
        <v>15.742847902058035</v>
      </c>
      <c r="AG21" s="87">
        <f t="shared" si="32"/>
        <v>0</v>
      </c>
      <c r="AH21" s="87">
        <f>1</f>
        <v>1</v>
      </c>
      <c r="AI21" s="92">
        <f t="shared" si="33"/>
        <v>9</v>
      </c>
      <c r="AJ21" s="87">
        <f t="shared" si="34"/>
        <v>36.81</v>
      </c>
      <c r="AK21" s="87">
        <f t="shared" si="35"/>
        <v>447.47172550497629</v>
      </c>
      <c r="AL21" s="87">
        <f t="shared" si="36"/>
        <v>0</v>
      </c>
      <c r="AM21" s="111">
        <f t="shared" si="37"/>
        <v>3.6810000000000002E-3</v>
      </c>
      <c r="AN21" s="92">
        <f t="shared" si="38"/>
        <v>1.5289785561767678E-2</v>
      </c>
      <c r="AO21" s="87">
        <f t="shared" si="39"/>
        <v>15289.785561767678</v>
      </c>
      <c r="AP21" s="91">
        <f t="shared" si="40"/>
        <v>43.358083418291912</v>
      </c>
      <c r="AQ21" s="93">
        <f t="shared" si="41"/>
        <v>139.06307890542496</v>
      </c>
      <c r="AR21" s="93">
        <f t="shared" si="42"/>
        <v>417.18923671627476</v>
      </c>
      <c r="AS21" s="91">
        <f t="shared" si="43"/>
        <v>4.9535729467253953</v>
      </c>
      <c r="AT21" s="91">
        <f t="shared" si="44"/>
        <v>6.4656997806178562E-2</v>
      </c>
      <c r="AU21" s="91">
        <f t="shared" si="45"/>
        <v>0</v>
      </c>
      <c r="AV21" s="91">
        <f t="shared" si="46"/>
        <v>16.644873032647322</v>
      </c>
      <c r="AW21" s="91">
        <f t="shared" si="47"/>
        <v>6.1496410979419664</v>
      </c>
      <c r="AX21" s="107">
        <f t="shared" si="48"/>
        <v>36.81</v>
      </c>
      <c r="AY21" s="90">
        <f t="shared" si="49"/>
        <v>3.4412021192905757</v>
      </c>
      <c r="AZ21" s="91">
        <f t="shared" si="50"/>
        <v>531.73540748271887</v>
      </c>
      <c r="BA21" s="91">
        <f t="shared" si="51"/>
        <v>415370.43090920063</v>
      </c>
      <c r="BB21" s="87">
        <f t="shared" si="52"/>
        <v>4153704309.0920062</v>
      </c>
      <c r="BC21" s="90">
        <f t="shared" si="53"/>
        <v>4.1537043090920065</v>
      </c>
      <c r="BD21" s="87">
        <f t="shared" si="54"/>
        <v>0.5</v>
      </c>
      <c r="BE21" s="87">
        <f t="shared" si="55"/>
        <v>11.74</v>
      </c>
      <c r="BF21" s="87">
        <f t="shared" si="56"/>
        <v>0.33600000000000002</v>
      </c>
      <c r="BG21" s="90">
        <f t="shared" si="57"/>
        <v>0.35263979300610004</v>
      </c>
      <c r="BH21" s="91">
        <f t="shared" si="58"/>
        <v>0</v>
      </c>
      <c r="BI21" s="91">
        <f t="shared" si="59"/>
        <v>0</v>
      </c>
      <c r="BJ21" s="91">
        <f t="shared" si="60"/>
        <v>5.2476159673526785</v>
      </c>
      <c r="BK21" s="91">
        <f t="shared" si="61"/>
        <v>15.742847902058035</v>
      </c>
      <c r="BL21" s="87">
        <f t="shared" si="62"/>
        <v>0</v>
      </c>
      <c r="BM21" s="87">
        <f>0</f>
        <v>0</v>
      </c>
      <c r="BN21" s="92">
        <f t="shared" si="63"/>
        <v>9</v>
      </c>
      <c r="BO21" s="87">
        <f t="shared" si="64"/>
        <v>36.81</v>
      </c>
      <c r="BP21" s="87">
        <f t="shared" si="65"/>
        <v>447.47172550497629</v>
      </c>
      <c r="BQ21" s="87">
        <f t="shared" si="66"/>
        <v>0</v>
      </c>
      <c r="BR21" s="111">
        <f t="shared" si="67"/>
        <v>3.6810000000000002E-3</v>
      </c>
      <c r="BS21" s="92">
        <f t="shared" si="68"/>
        <v>1.5289785561767678E-2</v>
      </c>
      <c r="BT21" s="87">
        <f t="shared" si="69"/>
        <v>15289.785561767678</v>
      </c>
      <c r="BU21" s="91">
        <f t="shared" si="70"/>
        <v>43.358083418291912</v>
      </c>
      <c r="BV21" s="93">
        <f t="shared" si="71"/>
        <v>139.06307890542496</v>
      </c>
      <c r="BW21" s="93">
        <f t="shared" si="72"/>
        <v>417.18923671627476</v>
      </c>
      <c r="BX21" s="91">
        <f t="shared" si="73"/>
        <v>4.9535729467253953</v>
      </c>
      <c r="BY21" s="91">
        <f t="shared" si="74"/>
        <v>6.4656997806178562E-2</v>
      </c>
      <c r="BZ21" s="91">
        <f t="shared" si="75"/>
        <v>0</v>
      </c>
      <c r="CA21" s="91">
        <f>Table2[[#This Row],[sed_del_kg_gullied]]-Table2[[#This Row],[sed_del_kg_no_gully]]</f>
        <v>0</v>
      </c>
      <c r="CB21" s="91">
        <f t="shared" si="76"/>
        <v>16.644873032647322</v>
      </c>
      <c r="CC21" s="91">
        <f t="shared" si="77"/>
        <v>6.1496410979419664</v>
      </c>
      <c r="CD21" s="91">
        <f>IF(Gullying!$BM21=1,Gullying!$CC21,Gullying!$CB21)</f>
        <v>16.644873032647322</v>
      </c>
    </row>
    <row r="22" spans="1:82" x14ac:dyDescent="0.4">
      <c r="A22" s="21">
        <v>73</v>
      </c>
      <c r="B22" s="21" t="s">
        <v>94</v>
      </c>
      <c r="C22" s="21">
        <v>91.868313000000001</v>
      </c>
      <c r="D22" s="21">
        <v>619825.4</v>
      </c>
      <c r="E22" s="21">
        <v>6081554.7999999998</v>
      </c>
      <c r="F22" s="21">
        <v>765.3</v>
      </c>
      <c r="G22" s="21">
        <v>14</v>
      </c>
      <c r="H22" s="21">
        <v>0</v>
      </c>
      <c r="I22" s="21">
        <v>43</v>
      </c>
      <c r="J22" s="21">
        <v>0</v>
      </c>
      <c r="K22" s="21">
        <v>100</v>
      </c>
      <c r="L22" s="21">
        <v>3.3</v>
      </c>
      <c r="M22" s="21">
        <v>100</v>
      </c>
      <c r="N22" s="21">
        <v>0</v>
      </c>
      <c r="O22" s="35">
        <v>10</v>
      </c>
      <c r="P22" s="21">
        <v>90</v>
      </c>
      <c r="Q22" s="4">
        <v>781.16</v>
      </c>
      <c r="R22" s="4">
        <v>30.899999619999999</v>
      </c>
      <c r="S22" s="107">
        <f t="shared" si="18"/>
        <v>141.9</v>
      </c>
      <c r="T22" s="90">
        <f t="shared" si="19"/>
        <v>2.9294544238463396</v>
      </c>
      <c r="U22" s="91">
        <f t="shared" si="20"/>
        <v>488.39549515554648</v>
      </c>
      <c r="V22" s="91">
        <f t="shared" si="21"/>
        <v>381515.02499570668</v>
      </c>
      <c r="W22" s="87">
        <f t="shared" si="22"/>
        <v>3815150249.957067</v>
      </c>
      <c r="X22" s="90">
        <f t="shared" si="23"/>
        <v>3.8151502499570671</v>
      </c>
      <c r="Y22" s="87">
        <f t="shared" si="24"/>
        <v>0.5</v>
      </c>
      <c r="Z22" s="87">
        <f t="shared" si="25"/>
        <v>11.74</v>
      </c>
      <c r="AA22" s="87">
        <f t="shared" si="26"/>
        <v>0.33600000000000002</v>
      </c>
      <c r="AB22" s="90">
        <f t="shared" si="27"/>
        <v>1.3594019730390001</v>
      </c>
      <c r="AC22" s="91">
        <f t="shared" si="28"/>
        <v>0</v>
      </c>
      <c r="AD22" s="91">
        <f t="shared" si="29"/>
        <v>0</v>
      </c>
      <c r="AE22" s="91">
        <f t="shared" si="30"/>
        <v>20.229196027366072</v>
      </c>
      <c r="AF22" s="91">
        <f t="shared" si="31"/>
        <v>60.687588082098216</v>
      </c>
      <c r="AG22" s="87">
        <f t="shared" si="32"/>
        <v>0</v>
      </c>
      <c r="AH22" s="87">
        <f>1</f>
        <v>1</v>
      </c>
      <c r="AI22" s="92">
        <f t="shared" si="33"/>
        <v>10</v>
      </c>
      <c r="AJ22" s="87">
        <f t="shared" si="34"/>
        <v>141.9</v>
      </c>
      <c r="AK22" s="87">
        <f t="shared" si="35"/>
        <v>403.1139338200544</v>
      </c>
      <c r="AL22" s="87">
        <f t="shared" si="36"/>
        <v>0</v>
      </c>
      <c r="AM22" s="111">
        <f t="shared" si="37"/>
        <v>1.4190000000000001E-2</v>
      </c>
      <c r="AN22" s="92">
        <f t="shared" si="38"/>
        <v>5.413698204689079E-2</v>
      </c>
      <c r="AO22" s="87">
        <f t="shared" si="39"/>
        <v>54136.982046890793</v>
      </c>
      <c r="AP22" s="91">
        <f t="shared" si="40"/>
        <v>39.824116133850609</v>
      </c>
      <c r="AQ22" s="93">
        <f t="shared" si="41"/>
        <v>151.37908080268485</v>
      </c>
      <c r="AR22" s="93">
        <f t="shared" si="42"/>
        <v>454.13724240805459</v>
      </c>
      <c r="AS22" s="91">
        <f t="shared" si="43"/>
        <v>3.7545145701867986</v>
      </c>
      <c r="AT22" s="91">
        <f t="shared" si="44"/>
        <v>3.3370989984175578E-2</v>
      </c>
      <c r="AU22" s="91">
        <f t="shared" si="45"/>
        <v>0</v>
      </c>
      <c r="AV22" s="91">
        <f t="shared" si="46"/>
        <v>71.639116972633929</v>
      </c>
      <c r="AW22" s="91">
        <f t="shared" si="47"/>
        <v>31.180724917901784</v>
      </c>
      <c r="AX22" s="107">
        <f t="shared" si="48"/>
        <v>141.9</v>
      </c>
      <c r="AY22" s="90">
        <f t="shared" si="49"/>
        <v>2.9294544238463396</v>
      </c>
      <c r="AZ22" s="91">
        <f t="shared" si="50"/>
        <v>488.39549515554648</v>
      </c>
      <c r="BA22" s="91">
        <f t="shared" si="51"/>
        <v>381515.02499570668</v>
      </c>
      <c r="BB22" s="87">
        <f t="shared" si="52"/>
        <v>3815150249.957067</v>
      </c>
      <c r="BC22" s="90">
        <f t="shared" si="53"/>
        <v>3.8151502499570671</v>
      </c>
      <c r="BD22" s="87">
        <f t="shared" si="54"/>
        <v>0.5</v>
      </c>
      <c r="BE22" s="87">
        <f t="shared" si="55"/>
        <v>11.74</v>
      </c>
      <c r="BF22" s="87">
        <f t="shared" si="56"/>
        <v>0.33600000000000002</v>
      </c>
      <c r="BG22" s="90">
        <f t="shared" si="57"/>
        <v>1.3594019730390001</v>
      </c>
      <c r="BH22" s="91">
        <f t="shared" si="58"/>
        <v>0</v>
      </c>
      <c r="BI22" s="91">
        <f t="shared" si="59"/>
        <v>0</v>
      </c>
      <c r="BJ22" s="91">
        <f t="shared" si="60"/>
        <v>20.229196027366072</v>
      </c>
      <c r="BK22" s="91">
        <f t="shared" si="61"/>
        <v>60.687588082098216</v>
      </c>
      <c r="BL22" s="87">
        <f t="shared" si="62"/>
        <v>0</v>
      </c>
      <c r="BM22" s="87">
        <f>0</f>
        <v>0</v>
      </c>
      <c r="BN22" s="92">
        <f t="shared" si="63"/>
        <v>10</v>
      </c>
      <c r="BO22" s="87">
        <f t="shared" si="64"/>
        <v>141.9</v>
      </c>
      <c r="BP22" s="87">
        <f t="shared" si="65"/>
        <v>403.1139338200544</v>
      </c>
      <c r="BQ22" s="87">
        <f t="shared" si="66"/>
        <v>0</v>
      </c>
      <c r="BR22" s="111">
        <f t="shared" si="67"/>
        <v>1.4190000000000001E-2</v>
      </c>
      <c r="BS22" s="92">
        <f t="shared" si="68"/>
        <v>5.413698204689079E-2</v>
      </c>
      <c r="BT22" s="87">
        <f t="shared" si="69"/>
        <v>54136.982046890793</v>
      </c>
      <c r="BU22" s="91">
        <f t="shared" si="70"/>
        <v>39.824116133850609</v>
      </c>
      <c r="BV22" s="93">
        <f t="shared" si="71"/>
        <v>151.37908080268485</v>
      </c>
      <c r="BW22" s="93">
        <f t="shared" si="72"/>
        <v>454.13724240805459</v>
      </c>
      <c r="BX22" s="91">
        <f t="shared" si="73"/>
        <v>3.7545145701867986</v>
      </c>
      <c r="BY22" s="91">
        <f t="shared" si="74"/>
        <v>3.3370989984175578E-2</v>
      </c>
      <c r="BZ22" s="91">
        <f t="shared" si="75"/>
        <v>0</v>
      </c>
      <c r="CA22" s="91">
        <f>Table2[[#This Row],[sed_del_kg_gullied]]-Table2[[#This Row],[sed_del_kg_no_gully]]</f>
        <v>0</v>
      </c>
      <c r="CB22" s="91">
        <f t="shared" si="76"/>
        <v>71.639116972633929</v>
      </c>
      <c r="CC22" s="91">
        <f t="shared" si="77"/>
        <v>31.180724917901784</v>
      </c>
      <c r="CD22" s="91">
        <f>IF(Gullying!$BM22=1,Gullying!$CC22,Gullying!$CB22)</f>
        <v>71.639116972633929</v>
      </c>
    </row>
    <row r="23" spans="1:82" x14ac:dyDescent="0.4">
      <c r="A23" s="21">
        <v>125</v>
      </c>
      <c r="B23" s="21" t="s">
        <v>94</v>
      </c>
      <c r="C23" s="21">
        <v>56.239874999999998</v>
      </c>
      <c r="D23" s="21">
        <v>620619.9</v>
      </c>
      <c r="E23" s="21">
        <v>6082655.5</v>
      </c>
      <c r="F23" s="21">
        <v>769</v>
      </c>
      <c r="G23" s="21">
        <v>14</v>
      </c>
      <c r="H23" s="21">
        <v>0</v>
      </c>
      <c r="I23" s="21">
        <v>57</v>
      </c>
      <c r="J23" s="21">
        <v>0</v>
      </c>
      <c r="K23" s="21">
        <v>100</v>
      </c>
      <c r="L23" s="21">
        <v>3.4</v>
      </c>
      <c r="M23" s="21">
        <v>100</v>
      </c>
      <c r="N23" s="21">
        <v>0</v>
      </c>
      <c r="O23" s="35">
        <v>4</v>
      </c>
      <c r="P23" s="21">
        <v>90</v>
      </c>
      <c r="Q23" s="4">
        <v>781.16</v>
      </c>
      <c r="R23" s="4">
        <v>30.899999619999999</v>
      </c>
      <c r="S23" s="107">
        <f t="shared" si="18"/>
        <v>193.79999999999998</v>
      </c>
      <c r="T23" s="90">
        <f t="shared" si="19"/>
        <v>2.9294544238463396</v>
      </c>
      <c r="U23" s="91">
        <f t="shared" si="20"/>
        <v>488.39549515554648</v>
      </c>
      <c r="V23" s="91">
        <f t="shared" si="21"/>
        <v>381515.02499570668</v>
      </c>
      <c r="W23" s="87">
        <f t="shared" si="22"/>
        <v>3815150249.957067</v>
      </c>
      <c r="X23" s="90">
        <f t="shared" si="23"/>
        <v>3.8151502499570671</v>
      </c>
      <c r="Y23" s="87">
        <f t="shared" si="24"/>
        <v>0.5</v>
      </c>
      <c r="Z23" s="87">
        <f t="shared" si="25"/>
        <v>11.74</v>
      </c>
      <c r="AA23" s="87">
        <f t="shared" si="26"/>
        <v>0.33600000000000002</v>
      </c>
      <c r="AB23" s="90">
        <f t="shared" si="27"/>
        <v>1.856603963178</v>
      </c>
      <c r="AC23" s="91">
        <f t="shared" si="28"/>
        <v>0</v>
      </c>
      <c r="AD23" s="91">
        <f t="shared" si="29"/>
        <v>0.59683076317799988</v>
      </c>
      <c r="AE23" s="91">
        <f t="shared" si="30"/>
        <v>27.628035166339284</v>
      </c>
      <c r="AF23" s="91">
        <f t="shared" si="31"/>
        <v>82.884105499017849</v>
      </c>
      <c r="AG23" s="87">
        <f t="shared" si="32"/>
        <v>0</v>
      </c>
      <c r="AH23" s="87">
        <f>1</f>
        <v>1</v>
      </c>
      <c r="AI23" s="92">
        <f t="shared" si="33"/>
        <v>4</v>
      </c>
      <c r="AJ23" s="87">
        <f t="shared" si="34"/>
        <v>193.79999999999998</v>
      </c>
      <c r="AK23" s="87">
        <f t="shared" si="35"/>
        <v>1003.4910918342573</v>
      </c>
      <c r="AL23" s="87">
        <f t="shared" si="36"/>
        <v>0.59683076317799988</v>
      </c>
      <c r="AM23" s="111">
        <f t="shared" si="37"/>
        <v>1.9379999999999998E-2</v>
      </c>
      <c r="AN23" s="92">
        <f t="shared" si="38"/>
        <v>7.3937611844167958E-2</v>
      </c>
      <c r="AO23" s="87">
        <f t="shared" si="39"/>
        <v>73937.611844167957</v>
      </c>
      <c r="AP23" s="91">
        <f t="shared" si="40"/>
        <v>39.824116133850602</v>
      </c>
      <c r="AQ23" s="93">
        <f t="shared" si="41"/>
        <v>67.853630875785257</v>
      </c>
      <c r="AR23" s="93">
        <f t="shared" si="42"/>
        <v>203.56089262735571</v>
      </c>
      <c r="AS23" s="91">
        <f t="shared" si="43"/>
        <v>13.817777947485602</v>
      </c>
      <c r="AT23" s="91">
        <f t="shared" si="44"/>
        <v>1.6634982039787185</v>
      </c>
      <c r="AU23" s="91">
        <f t="shared" si="45"/>
        <v>8.2468749578219693</v>
      </c>
      <c r="AV23" s="91">
        <f t="shared" si="46"/>
        <v>28.611839833660714</v>
      </c>
      <c r="AW23" s="91">
        <f t="shared" si="47"/>
        <v>0</v>
      </c>
      <c r="AX23" s="107">
        <f t="shared" si="48"/>
        <v>193.79999999999998</v>
      </c>
      <c r="AY23" s="90">
        <f t="shared" si="49"/>
        <v>2.9294544238463396</v>
      </c>
      <c r="AZ23" s="91">
        <f t="shared" si="50"/>
        <v>488.39549515554648</v>
      </c>
      <c r="BA23" s="91">
        <f t="shared" si="51"/>
        <v>381515.02499570668</v>
      </c>
      <c r="BB23" s="87">
        <f t="shared" si="52"/>
        <v>3815150249.957067</v>
      </c>
      <c r="BC23" s="90">
        <f t="shared" si="53"/>
        <v>3.8151502499570671</v>
      </c>
      <c r="BD23" s="87">
        <f t="shared" si="54"/>
        <v>0.5</v>
      </c>
      <c r="BE23" s="87">
        <f t="shared" si="55"/>
        <v>11.74</v>
      </c>
      <c r="BF23" s="87">
        <f t="shared" si="56"/>
        <v>0.33600000000000002</v>
      </c>
      <c r="BG23" s="90">
        <f t="shared" si="57"/>
        <v>1.856603963178</v>
      </c>
      <c r="BH23" s="91">
        <f t="shared" si="58"/>
        <v>0</v>
      </c>
      <c r="BI23" s="91">
        <f t="shared" si="59"/>
        <v>0.59683076317799988</v>
      </c>
      <c r="BJ23" s="91">
        <f t="shared" si="60"/>
        <v>27.628035166339284</v>
      </c>
      <c r="BK23" s="91">
        <f t="shared" si="61"/>
        <v>82.884105499017849</v>
      </c>
      <c r="BL23" s="87">
        <f t="shared" si="62"/>
        <v>0</v>
      </c>
      <c r="BM23" s="87">
        <f>0</f>
        <v>0</v>
      </c>
      <c r="BN23" s="92">
        <f t="shared" si="63"/>
        <v>4</v>
      </c>
      <c r="BO23" s="87">
        <f t="shared" si="64"/>
        <v>193.79999999999998</v>
      </c>
      <c r="BP23" s="87">
        <f t="shared" si="65"/>
        <v>1003.4910918342573</v>
      </c>
      <c r="BQ23" s="87">
        <f t="shared" si="66"/>
        <v>0</v>
      </c>
      <c r="BR23" s="111">
        <f t="shared" si="67"/>
        <v>1.9379999999999998E-2</v>
      </c>
      <c r="BS23" s="92">
        <f t="shared" si="68"/>
        <v>7.3937611844167958E-2</v>
      </c>
      <c r="BT23" s="87">
        <f t="shared" si="69"/>
        <v>73937.611844167957</v>
      </c>
      <c r="BU23" s="91">
        <f t="shared" si="70"/>
        <v>39.824116133850602</v>
      </c>
      <c r="BV23" s="93">
        <f t="shared" si="71"/>
        <v>67.853630875785257</v>
      </c>
      <c r="BW23" s="93">
        <f t="shared" si="72"/>
        <v>203.56089262735571</v>
      </c>
      <c r="BX23" s="91">
        <f t="shared" si="73"/>
        <v>13.817777947485602</v>
      </c>
      <c r="BY23" s="91">
        <f t="shared" si="74"/>
        <v>1.6634982039787185</v>
      </c>
      <c r="BZ23" s="91">
        <f t="shared" si="75"/>
        <v>0</v>
      </c>
      <c r="CA23" s="91">
        <f>Table2[[#This Row],[sed_del_kg_gullied]]-Table2[[#This Row],[sed_del_kg_no_gully]]</f>
        <v>8.2468749578219693</v>
      </c>
      <c r="CB23" s="91">
        <f t="shared" si="76"/>
        <v>28.611839833660714</v>
      </c>
      <c r="CC23" s="91">
        <f t="shared" si="77"/>
        <v>0</v>
      </c>
      <c r="CD23" s="91">
        <f>IF(Gullying!$BM23=1,Gullying!$CC23,Gullying!$CB23)</f>
        <v>28.611839833660714</v>
      </c>
    </row>
    <row r="24" spans="1:82" x14ac:dyDescent="0.4">
      <c r="A24" s="21">
        <v>109</v>
      </c>
      <c r="B24" s="21" t="s">
        <v>94</v>
      </c>
      <c r="C24" s="21">
        <v>49.578721000000002</v>
      </c>
      <c r="D24" s="21">
        <v>620304.4</v>
      </c>
      <c r="E24" s="21">
        <v>6082461.0999999996</v>
      </c>
      <c r="F24" s="21">
        <v>771</v>
      </c>
      <c r="G24" s="21">
        <v>17</v>
      </c>
      <c r="H24" s="21">
        <v>0</v>
      </c>
      <c r="I24" s="21">
        <v>39.200000000000003</v>
      </c>
      <c r="J24" s="21">
        <v>0</v>
      </c>
      <c r="K24" s="21">
        <v>100</v>
      </c>
      <c r="L24" s="21">
        <v>3.7</v>
      </c>
      <c r="M24" s="21">
        <v>100</v>
      </c>
      <c r="N24" s="21">
        <v>0</v>
      </c>
      <c r="O24" s="35">
        <v>11</v>
      </c>
      <c r="P24" s="21">
        <v>90</v>
      </c>
      <c r="Q24" s="4">
        <v>781.16</v>
      </c>
      <c r="R24" s="4">
        <v>30.899999619999999</v>
      </c>
      <c r="S24" s="107">
        <f t="shared" si="18"/>
        <v>145.04000000000002</v>
      </c>
      <c r="T24" s="90">
        <f t="shared" si="19"/>
        <v>3.2456920022533735</v>
      </c>
      <c r="U24" s="91">
        <f t="shared" si="20"/>
        <v>515.17765567083813</v>
      </c>
      <c r="V24" s="91">
        <f t="shared" si="21"/>
        <v>402436.17750383192</v>
      </c>
      <c r="W24" s="87">
        <f t="shared" si="22"/>
        <v>4024361775.0383191</v>
      </c>
      <c r="X24" s="90">
        <f t="shared" si="23"/>
        <v>4.0243617750383187</v>
      </c>
      <c r="Y24" s="87">
        <f t="shared" si="24"/>
        <v>0.5</v>
      </c>
      <c r="Z24" s="87">
        <f t="shared" si="25"/>
        <v>11.74</v>
      </c>
      <c r="AA24" s="87">
        <f t="shared" si="26"/>
        <v>0.33600000000000002</v>
      </c>
      <c r="AB24" s="90">
        <f t="shared" si="27"/>
        <v>1.3894831724424002</v>
      </c>
      <c r="AC24" s="91">
        <f t="shared" si="28"/>
        <v>0</v>
      </c>
      <c r="AD24" s="91">
        <f t="shared" si="29"/>
        <v>0.27891982204239996</v>
      </c>
      <c r="AE24" s="91">
        <f t="shared" si="30"/>
        <v>20.67683292325</v>
      </c>
      <c r="AF24" s="91">
        <f t="shared" si="31"/>
        <v>62.030498769749997</v>
      </c>
      <c r="AG24" s="87">
        <f t="shared" si="32"/>
        <v>0</v>
      </c>
      <c r="AH24" s="87">
        <f>1</f>
        <v>1</v>
      </c>
      <c r="AI24" s="92">
        <f t="shared" si="33"/>
        <v>11</v>
      </c>
      <c r="AJ24" s="87">
        <f t="shared" si="34"/>
        <v>145.04000000000002</v>
      </c>
      <c r="AK24" s="87">
        <f t="shared" si="35"/>
        <v>366.85901449174941</v>
      </c>
      <c r="AL24" s="87">
        <f t="shared" si="36"/>
        <v>0.27891982204239996</v>
      </c>
      <c r="AM24" s="111">
        <f t="shared" si="37"/>
        <v>1.4504000000000001E-2</v>
      </c>
      <c r="AN24" s="92">
        <f t="shared" si="38"/>
        <v>5.8369343185155777E-2</v>
      </c>
      <c r="AO24" s="87">
        <f t="shared" si="39"/>
        <v>58369.343185155776</v>
      </c>
      <c r="AP24" s="91">
        <f t="shared" si="40"/>
        <v>42.007952555881296</v>
      </c>
      <c r="AQ24" s="93">
        <f t="shared" si="41"/>
        <v>79.926362004649448</v>
      </c>
      <c r="AR24" s="93">
        <f t="shared" si="42"/>
        <v>239.77908601394833</v>
      </c>
      <c r="AS24" s="91">
        <f t="shared" si="43"/>
        <v>12.073436390158653</v>
      </c>
      <c r="AT24" s="91">
        <f t="shared" si="44"/>
        <v>0.99730883281095806</v>
      </c>
      <c r="AU24" s="91">
        <f t="shared" si="45"/>
        <v>3.3675207293832874</v>
      </c>
      <c r="AV24" s="91">
        <f t="shared" si="46"/>
        <v>28.901888076750001</v>
      </c>
      <c r="AW24" s="91">
        <f t="shared" si="47"/>
        <v>0</v>
      </c>
      <c r="AX24" s="107">
        <f t="shared" si="48"/>
        <v>145.04000000000002</v>
      </c>
      <c r="AY24" s="90">
        <f t="shared" si="49"/>
        <v>3.2456920022533735</v>
      </c>
      <c r="AZ24" s="91">
        <f t="shared" si="50"/>
        <v>515.17765567083813</v>
      </c>
      <c r="BA24" s="91">
        <f t="shared" si="51"/>
        <v>402436.17750383192</v>
      </c>
      <c r="BB24" s="87">
        <f t="shared" si="52"/>
        <v>4024361775.0383191</v>
      </c>
      <c r="BC24" s="90">
        <f t="shared" si="53"/>
        <v>4.0243617750383187</v>
      </c>
      <c r="BD24" s="87">
        <f t="shared" si="54"/>
        <v>0.5</v>
      </c>
      <c r="BE24" s="87">
        <f t="shared" si="55"/>
        <v>11.74</v>
      </c>
      <c r="BF24" s="87">
        <f t="shared" si="56"/>
        <v>0.33600000000000002</v>
      </c>
      <c r="BG24" s="90">
        <f t="shared" si="57"/>
        <v>1.3894831724424002</v>
      </c>
      <c r="BH24" s="91">
        <f t="shared" si="58"/>
        <v>0</v>
      </c>
      <c r="BI24" s="91">
        <f t="shared" si="59"/>
        <v>0.27891982204239996</v>
      </c>
      <c r="BJ24" s="91">
        <f t="shared" si="60"/>
        <v>20.67683292325</v>
      </c>
      <c r="BK24" s="91">
        <f t="shared" si="61"/>
        <v>62.030498769749997</v>
      </c>
      <c r="BL24" s="87">
        <f t="shared" si="62"/>
        <v>0</v>
      </c>
      <c r="BM24" s="87">
        <f>0</f>
        <v>0</v>
      </c>
      <c r="BN24" s="92">
        <f t="shared" si="63"/>
        <v>11</v>
      </c>
      <c r="BO24" s="87">
        <f t="shared" si="64"/>
        <v>145.04000000000002</v>
      </c>
      <c r="BP24" s="87">
        <f t="shared" si="65"/>
        <v>366.85901449174941</v>
      </c>
      <c r="BQ24" s="87">
        <f t="shared" si="66"/>
        <v>0</v>
      </c>
      <c r="BR24" s="111">
        <f t="shared" si="67"/>
        <v>1.4504000000000001E-2</v>
      </c>
      <c r="BS24" s="92">
        <f t="shared" si="68"/>
        <v>5.8369343185155777E-2</v>
      </c>
      <c r="BT24" s="87">
        <f t="shared" si="69"/>
        <v>58369.343185155776</v>
      </c>
      <c r="BU24" s="91">
        <f t="shared" si="70"/>
        <v>42.007952555881296</v>
      </c>
      <c r="BV24" s="93">
        <f t="shared" si="71"/>
        <v>79.926362004649448</v>
      </c>
      <c r="BW24" s="93">
        <f t="shared" si="72"/>
        <v>239.77908601394833</v>
      </c>
      <c r="BX24" s="91">
        <f t="shared" si="73"/>
        <v>12.073436390158653</v>
      </c>
      <c r="BY24" s="91">
        <f t="shared" si="74"/>
        <v>0.99730883281095806</v>
      </c>
      <c r="BZ24" s="91">
        <f t="shared" si="75"/>
        <v>0</v>
      </c>
      <c r="CA24" s="91">
        <f>Table2[[#This Row],[sed_del_kg_gullied]]-Table2[[#This Row],[sed_del_kg_no_gully]]</f>
        <v>3.3675207293832874</v>
      </c>
      <c r="CB24" s="91">
        <f t="shared" si="76"/>
        <v>28.901888076750001</v>
      </c>
      <c r="CC24" s="91">
        <f t="shared" si="77"/>
        <v>0</v>
      </c>
      <c r="CD24" s="91">
        <f>IF(Gullying!$BM24=1,Gullying!$CC24,Gullying!$CB24)</f>
        <v>28.901888076750001</v>
      </c>
    </row>
    <row r="25" spans="1:82" x14ac:dyDescent="0.4">
      <c r="A25" s="21">
        <v>74</v>
      </c>
      <c r="B25" s="21" t="s">
        <v>94</v>
      </c>
      <c r="C25" s="21">
        <v>56.854332999999997</v>
      </c>
      <c r="D25" s="21">
        <v>619840.80000000005</v>
      </c>
      <c r="E25" s="21">
        <v>6081595.2999999998</v>
      </c>
      <c r="F25" s="21">
        <v>773.6</v>
      </c>
      <c r="G25" s="21">
        <v>19</v>
      </c>
      <c r="H25" s="21">
        <v>0</v>
      </c>
      <c r="I25" s="21">
        <v>19.97</v>
      </c>
      <c r="J25" s="21">
        <v>0</v>
      </c>
      <c r="K25" s="21">
        <v>100</v>
      </c>
      <c r="L25" s="21">
        <v>3.6</v>
      </c>
      <c r="M25" s="21">
        <v>100</v>
      </c>
      <c r="N25" s="21">
        <v>0</v>
      </c>
      <c r="O25" s="35">
        <v>18</v>
      </c>
      <c r="P25" s="21">
        <v>90</v>
      </c>
      <c r="Q25" s="4">
        <v>781.16</v>
      </c>
      <c r="R25" s="4">
        <v>30.899999619999999</v>
      </c>
      <c r="S25" s="107">
        <f t="shared" si="18"/>
        <v>71.891999999999996</v>
      </c>
      <c r="T25" s="90">
        <f t="shared" si="19"/>
        <v>3.4412021192905757</v>
      </c>
      <c r="U25" s="91">
        <f t="shared" si="20"/>
        <v>531.73540748271887</v>
      </c>
      <c r="V25" s="91">
        <f t="shared" si="21"/>
        <v>415370.43090920063</v>
      </c>
      <c r="W25" s="87">
        <f t="shared" si="22"/>
        <v>4153704309.0920062</v>
      </c>
      <c r="X25" s="90">
        <f t="shared" si="23"/>
        <v>4.1537043090920065</v>
      </c>
      <c r="Y25" s="87">
        <f t="shared" si="24"/>
        <v>0.5</v>
      </c>
      <c r="Z25" s="87">
        <f t="shared" si="25"/>
        <v>11.74</v>
      </c>
      <c r="AA25" s="87">
        <f t="shared" si="26"/>
        <v>0.33600000000000002</v>
      </c>
      <c r="AB25" s="90">
        <f t="shared" si="27"/>
        <v>0.68872534634051996</v>
      </c>
      <c r="AC25" s="91">
        <f t="shared" si="28"/>
        <v>0</v>
      </c>
      <c r="AD25" s="91">
        <f t="shared" si="29"/>
        <v>0</v>
      </c>
      <c r="AE25" s="91">
        <f t="shared" si="30"/>
        <v>10.248889082448214</v>
      </c>
      <c r="AF25" s="91">
        <f t="shared" si="31"/>
        <v>30.746667247344639</v>
      </c>
      <c r="AG25" s="87">
        <f t="shared" si="32"/>
        <v>0</v>
      </c>
      <c r="AH25" s="87">
        <f>1</f>
        <v>1</v>
      </c>
      <c r="AI25" s="92">
        <f t="shared" si="33"/>
        <v>18</v>
      </c>
      <c r="AJ25" s="87">
        <f t="shared" si="34"/>
        <v>71.891999999999996</v>
      </c>
      <c r="AK25" s="87">
        <f t="shared" si="35"/>
        <v>226.52475842498529</v>
      </c>
      <c r="AL25" s="87">
        <f t="shared" si="36"/>
        <v>0</v>
      </c>
      <c r="AM25" s="111">
        <f t="shared" si="37"/>
        <v>7.1891999999999998E-3</v>
      </c>
      <c r="AN25" s="92">
        <f t="shared" si="38"/>
        <v>2.9861811018924253E-2</v>
      </c>
      <c r="AO25" s="87">
        <f t="shared" si="39"/>
        <v>29861.811018924254</v>
      </c>
      <c r="AP25" s="91">
        <f t="shared" si="40"/>
        <v>43.358083418291912</v>
      </c>
      <c r="AQ25" s="93">
        <f t="shared" si="41"/>
        <v>184.91218102641704</v>
      </c>
      <c r="AR25" s="93">
        <f t="shared" si="42"/>
        <v>554.73654307925108</v>
      </c>
      <c r="AS25" s="91">
        <f t="shared" si="43"/>
        <v>2.4226527816016241</v>
      </c>
      <c r="AT25" s="91">
        <f t="shared" si="44"/>
        <v>7.5636839123123167E-3</v>
      </c>
      <c r="AU25" s="91">
        <f t="shared" si="45"/>
        <v>0</v>
      </c>
      <c r="AV25" s="91">
        <f t="shared" si="46"/>
        <v>46.605443917551781</v>
      </c>
      <c r="AW25" s="91">
        <f t="shared" si="47"/>
        <v>26.107665752655357</v>
      </c>
      <c r="AX25" s="107">
        <f t="shared" si="48"/>
        <v>71.891999999999996</v>
      </c>
      <c r="AY25" s="90">
        <f t="shared" si="49"/>
        <v>3.4412021192905757</v>
      </c>
      <c r="AZ25" s="91">
        <f t="shared" si="50"/>
        <v>531.73540748271887</v>
      </c>
      <c r="BA25" s="91">
        <f t="shared" si="51"/>
        <v>415370.43090920063</v>
      </c>
      <c r="BB25" s="87">
        <f t="shared" si="52"/>
        <v>4153704309.0920062</v>
      </c>
      <c r="BC25" s="90">
        <f t="shared" si="53"/>
        <v>4.1537043090920065</v>
      </c>
      <c r="BD25" s="87">
        <f t="shared" si="54"/>
        <v>0.5</v>
      </c>
      <c r="BE25" s="87">
        <f t="shared" si="55"/>
        <v>11.74</v>
      </c>
      <c r="BF25" s="87">
        <f t="shared" si="56"/>
        <v>0.33600000000000002</v>
      </c>
      <c r="BG25" s="90">
        <f t="shared" si="57"/>
        <v>0.68872534634051996</v>
      </c>
      <c r="BH25" s="91">
        <f t="shared" si="58"/>
        <v>0</v>
      </c>
      <c r="BI25" s="91">
        <f t="shared" si="59"/>
        <v>0</v>
      </c>
      <c r="BJ25" s="91">
        <f t="shared" si="60"/>
        <v>10.248889082448214</v>
      </c>
      <c r="BK25" s="91">
        <f t="shared" si="61"/>
        <v>30.746667247344639</v>
      </c>
      <c r="BL25" s="87">
        <f t="shared" si="62"/>
        <v>0</v>
      </c>
      <c r="BM25" s="87">
        <f>0</f>
        <v>0</v>
      </c>
      <c r="BN25" s="92">
        <f t="shared" si="63"/>
        <v>18</v>
      </c>
      <c r="BO25" s="87">
        <f t="shared" si="64"/>
        <v>71.891999999999996</v>
      </c>
      <c r="BP25" s="87">
        <f t="shared" si="65"/>
        <v>226.52475842498529</v>
      </c>
      <c r="BQ25" s="87">
        <f t="shared" si="66"/>
        <v>0</v>
      </c>
      <c r="BR25" s="111">
        <f t="shared" si="67"/>
        <v>7.1891999999999998E-3</v>
      </c>
      <c r="BS25" s="92">
        <f t="shared" si="68"/>
        <v>2.9861811018924253E-2</v>
      </c>
      <c r="BT25" s="87">
        <f t="shared" si="69"/>
        <v>29861.811018924254</v>
      </c>
      <c r="BU25" s="91">
        <f t="shared" si="70"/>
        <v>43.358083418291912</v>
      </c>
      <c r="BV25" s="93">
        <f t="shared" si="71"/>
        <v>184.91218102641704</v>
      </c>
      <c r="BW25" s="93">
        <f t="shared" si="72"/>
        <v>554.73654307925108</v>
      </c>
      <c r="BX25" s="91">
        <f t="shared" si="73"/>
        <v>2.4226527816016241</v>
      </c>
      <c r="BY25" s="91">
        <f t="shared" si="74"/>
        <v>7.5636839123123167E-3</v>
      </c>
      <c r="BZ25" s="91">
        <f t="shared" si="75"/>
        <v>0</v>
      </c>
      <c r="CA25" s="91">
        <f>Table2[[#This Row],[sed_del_kg_gullied]]-Table2[[#This Row],[sed_del_kg_no_gully]]</f>
        <v>0</v>
      </c>
      <c r="CB25" s="91">
        <f t="shared" si="76"/>
        <v>46.605443917551781</v>
      </c>
      <c r="CC25" s="91">
        <f t="shared" si="77"/>
        <v>26.107665752655357</v>
      </c>
      <c r="CD25" s="91">
        <f>IF(Gullying!$BM25=1,Gullying!$CC25,Gullying!$CB25)</f>
        <v>46.605443917551781</v>
      </c>
    </row>
    <row r="26" spans="1:82" x14ac:dyDescent="0.4">
      <c r="A26" s="21">
        <v>126</v>
      </c>
      <c r="B26" s="21" t="s">
        <v>94</v>
      </c>
      <c r="C26" s="21">
        <v>56.864032999999999</v>
      </c>
      <c r="D26" s="21">
        <v>620662.19999999995</v>
      </c>
      <c r="E26" s="21">
        <v>6082617.4000000004</v>
      </c>
      <c r="F26" s="21">
        <v>776.6</v>
      </c>
      <c r="G26" s="21">
        <v>11</v>
      </c>
      <c r="H26" s="21">
        <v>0</v>
      </c>
      <c r="I26" s="21">
        <v>69</v>
      </c>
      <c r="J26" s="21">
        <v>0</v>
      </c>
      <c r="K26" s="21">
        <v>100</v>
      </c>
      <c r="L26" s="21">
        <v>2.9</v>
      </c>
      <c r="M26" s="21">
        <v>100</v>
      </c>
      <c r="N26" s="21">
        <v>1</v>
      </c>
      <c r="O26" s="35">
        <v>8</v>
      </c>
      <c r="P26" s="21">
        <v>90</v>
      </c>
      <c r="Q26" s="4">
        <v>781.16</v>
      </c>
      <c r="R26" s="4">
        <v>30.899999619999999</v>
      </c>
      <c r="S26" s="107">
        <f t="shared" si="18"/>
        <v>200.1</v>
      </c>
      <c r="T26" s="90">
        <f t="shared" si="19"/>
        <v>2.5942500198766076</v>
      </c>
      <c r="U26" s="91">
        <f t="shared" si="20"/>
        <v>460.0070341833499</v>
      </c>
      <c r="V26" s="91">
        <f t="shared" si="21"/>
        <v>359339.09482266562</v>
      </c>
      <c r="W26" s="87">
        <f t="shared" si="22"/>
        <v>3593390948.226656</v>
      </c>
      <c r="X26" s="90">
        <f t="shared" si="23"/>
        <v>3.5933909482266562</v>
      </c>
      <c r="Y26" s="87">
        <f t="shared" si="24"/>
        <v>0.5</v>
      </c>
      <c r="Z26" s="87">
        <f t="shared" si="25"/>
        <v>11.74</v>
      </c>
      <c r="AA26" s="87">
        <f t="shared" si="26"/>
        <v>0.33600000000000002</v>
      </c>
      <c r="AB26" s="90">
        <f t="shared" si="27"/>
        <v>1.916957961981</v>
      </c>
      <c r="AC26" s="91">
        <f t="shared" si="28"/>
        <v>0</v>
      </c>
      <c r="AD26" s="91">
        <f t="shared" si="29"/>
        <v>0.64320362278099996</v>
      </c>
      <c r="AE26" s="91">
        <f t="shared" si="30"/>
        <v>28.526160148526785</v>
      </c>
      <c r="AF26" s="91">
        <f t="shared" si="31"/>
        <v>85.578480445580354</v>
      </c>
      <c r="AG26" s="87">
        <f t="shared" si="32"/>
        <v>0</v>
      </c>
      <c r="AH26" s="87">
        <f>1</f>
        <v>1</v>
      </c>
      <c r="AI26" s="92">
        <f t="shared" si="33"/>
        <v>8</v>
      </c>
      <c r="AJ26" s="87">
        <f t="shared" si="34"/>
        <v>200.1</v>
      </c>
      <c r="AK26" s="87">
        <f t="shared" si="35"/>
        <v>502.97075740294036</v>
      </c>
      <c r="AL26" s="87">
        <f t="shared" si="36"/>
        <v>0.64320362278099996</v>
      </c>
      <c r="AM26" s="111">
        <f t="shared" si="37"/>
        <v>2.001E-2</v>
      </c>
      <c r="AN26" s="92">
        <f t="shared" si="38"/>
        <v>7.1903752874015389E-2</v>
      </c>
      <c r="AO26" s="87">
        <f t="shared" si="39"/>
        <v>71903.752874015394</v>
      </c>
      <c r="AP26" s="91">
        <f t="shared" si="40"/>
        <v>37.509300829794654</v>
      </c>
      <c r="AQ26" s="93">
        <f t="shared" si="41"/>
        <v>66.446649559476612</v>
      </c>
      <c r="AR26" s="93">
        <f t="shared" si="42"/>
        <v>199.33994867842983</v>
      </c>
      <c r="AS26" s="91">
        <f t="shared" si="43"/>
        <v>13.303420614547393</v>
      </c>
      <c r="AT26" s="91">
        <f t="shared" si="44"/>
        <v>1.6734472576321304</v>
      </c>
      <c r="AU26" s="91">
        <f t="shared" si="45"/>
        <v>8.5568083346563206</v>
      </c>
      <c r="AV26" s="91">
        <f t="shared" si="46"/>
        <v>28.337872851473215</v>
      </c>
      <c r="AW26" s="91">
        <f t="shared" si="47"/>
        <v>0</v>
      </c>
      <c r="AX26" s="107">
        <f t="shared" si="48"/>
        <v>200.1</v>
      </c>
      <c r="AY26" s="90">
        <f t="shared" si="49"/>
        <v>2.5942500198766076</v>
      </c>
      <c r="AZ26" s="91">
        <f t="shared" si="50"/>
        <v>460.0070341833499</v>
      </c>
      <c r="BA26" s="91">
        <f t="shared" si="51"/>
        <v>359339.09482266562</v>
      </c>
      <c r="BB26" s="87">
        <f t="shared" si="52"/>
        <v>3593390948.226656</v>
      </c>
      <c r="BC26" s="90">
        <f t="shared" si="53"/>
        <v>3.5933909482266562</v>
      </c>
      <c r="BD26" s="87">
        <f t="shared" si="54"/>
        <v>0.5</v>
      </c>
      <c r="BE26" s="87">
        <f t="shared" si="55"/>
        <v>11.74</v>
      </c>
      <c r="BF26" s="87">
        <f t="shared" si="56"/>
        <v>0.33600000000000002</v>
      </c>
      <c r="BG26" s="90">
        <f t="shared" si="57"/>
        <v>1.916957961981</v>
      </c>
      <c r="BH26" s="91">
        <f t="shared" si="58"/>
        <v>0</v>
      </c>
      <c r="BI26" s="91">
        <f t="shared" si="59"/>
        <v>0.64320362278099996</v>
      </c>
      <c r="BJ26" s="91">
        <f t="shared" si="60"/>
        <v>28.526160148526785</v>
      </c>
      <c r="BK26" s="91">
        <f t="shared" si="61"/>
        <v>85.578480445580354</v>
      </c>
      <c r="BL26" s="87">
        <f t="shared" si="62"/>
        <v>0</v>
      </c>
      <c r="BM26" s="87">
        <f>0</f>
        <v>0</v>
      </c>
      <c r="BN26" s="92">
        <f t="shared" si="63"/>
        <v>8</v>
      </c>
      <c r="BO26" s="87">
        <f t="shared" si="64"/>
        <v>200.1</v>
      </c>
      <c r="BP26" s="87">
        <f t="shared" si="65"/>
        <v>502.97075740294036</v>
      </c>
      <c r="BQ26" s="87">
        <f t="shared" si="66"/>
        <v>0</v>
      </c>
      <c r="BR26" s="111">
        <f t="shared" si="67"/>
        <v>2.001E-2</v>
      </c>
      <c r="BS26" s="92">
        <f t="shared" si="68"/>
        <v>7.1903752874015389E-2</v>
      </c>
      <c r="BT26" s="87">
        <f t="shared" si="69"/>
        <v>71903.752874015394</v>
      </c>
      <c r="BU26" s="91">
        <f t="shared" si="70"/>
        <v>37.509300829794654</v>
      </c>
      <c r="BV26" s="93">
        <f t="shared" si="71"/>
        <v>66.446649559476612</v>
      </c>
      <c r="BW26" s="93">
        <f t="shared" si="72"/>
        <v>199.33994867842983</v>
      </c>
      <c r="BX26" s="91">
        <f t="shared" si="73"/>
        <v>13.303420614547393</v>
      </c>
      <c r="BY26" s="91">
        <f t="shared" si="74"/>
        <v>1.6734472576321304</v>
      </c>
      <c r="BZ26" s="91">
        <f t="shared" si="75"/>
        <v>0</v>
      </c>
      <c r="CA26" s="91">
        <f>Table2[[#This Row],[sed_del_kg_gullied]]-Table2[[#This Row],[sed_del_kg_no_gully]]</f>
        <v>8.5568083346563206</v>
      </c>
      <c r="CB26" s="91">
        <f t="shared" si="76"/>
        <v>28.337872851473215</v>
      </c>
      <c r="CC26" s="91">
        <f t="shared" si="77"/>
        <v>0</v>
      </c>
      <c r="CD26" s="91">
        <f>IF(Gullying!$BM26=1,Gullying!$CC26,Gullying!$CB26)</f>
        <v>28.337872851473215</v>
      </c>
    </row>
    <row r="27" spans="1:82" x14ac:dyDescent="0.4">
      <c r="A27" s="21">
        <v>75</v>
      </c>
      <c r="B27" s="21" t="s">
        <v>94</v>
      </c>
      <c r="C27" s="21">
        <v>63.341642</v>
      </c>
      <c r="D27" s="21">
        <v>619848.19999999995</v>
      </c>
      <c r="E27" s="21">
        <v>6081616.2000000002</v>
      </c>
      <c r="F27" s="21">
        <v>777.3</v>
      </c>
      <c r="G27" s="21">
        <v>14</v>
      </c>
      <c r="H27" s="21">
        <v>0</v>
      </c>
      <c r="I27" s="21">
        <v>15.33</v>
      </c>
      <c r="J27" s="21">
        <v>0</v>
      </c>
      <c r="K27" s="21">
        <v>100</v>
      </c>
      <c r="L27" s="21">
        <v>4</v>
      </c>
      <c r="M27" s="21">
        <v>100</v>
      </c>
      <c r="N27" s="21">
        <v>0</v>
      </c>
      <c r="O27" s="35">
        <v>5</v>
      </c>
      <c r="P27" s="21">
        <v>90</v>
      </c>
      <c r="Q27" s="4">
        <v>781.16</v>
      </c>
      <c r="R27" s="4">
        <v>30.899999619999999</v>
      </c>
      <c r="S27" s="107">
        <f t="shared" si="18"/>
        <v>61.32</v>
      </c>
      <c r="T27" s="90">
        <f t="shared" si="19"/>
        <v>2.9294544238463396</v>
      </c>
      <c r="U27" s="91">
        <f t="shared" si="20"/>
        <v>488.39549515554648</v>
      </c>
      <c r="V27" s="91">
        <f t="shared" si="21"/>
        <v>381515.02499570668</v>
      </c>
      <c r="W27" s="87">
        <f t="shared" si="22"/>
        <v>3815150249.957067</v>
      </c>
      <c r="X27" s="90">
        <f t="shared" si="23"/>
        <v>3.8151502499570671</v>
      </c>
      <c r="Y27" s="87">
        <f t="shared" si="24"/>
        <v>0.5</v>
      </c>
      <c r="Z27" s="87">
        <f t="shared" si="25"/>
        <v>11.74</v>
      </c>
      <c r="AA27" s="87">
        <f t="shared" si="26"/>
        <v>0.33600000000000002</v>
      </c>
      <c r="AB27" s="90">
        <f t="shared" si="27"/>
        <v>0.58744558834920013</v>
      </c>
      <c r="AC27" s="91">
        <f t="shared" si="28"/>
        <v>0</v>
      </c>
      <c r="AD27" s="91">
        <f t="shared" si="29"/>
        <v>0</v>
      </c>
      <c r="AE27" s="91">
        <f t="shared" si="30"/>
        <v>8.7417498266250018</v>
      </c>
      <c r="AF27" s="91">
        <f t="shared" si="31"/>
        <v>26.225249479875004</v>
      </c>
      <c r="AG27" s="87">
        <f t="shared" si="32"/>
        <v>0</v>
      </c>
      <c r="AH27" s="87">
        <f>1</f>
        <v>1</v>
      </c>
      <c r="AI27" s="92">
        <f t="shared" si="33"/>
        <v>5</v>
      </c>
      <c r="AJ27" s="87">
        <f t="shared" si="34"/>
        <v>61.32</v>
      </c>
      <c r="AK27" s="87">
        <f t="shared" si="35"/>
        <v>803.15992719688995</v>
      </c>
      <c r="AL27" s="87">
        <f t="shared" si="36"/>
        <v>0</v>
      </c>
      <c r="AM27" s="111">
        <f t="shared" si="37"/>
        <v>6.1320000000000003E-3</v>
      </c>
      <c r="AN27" s="92">
        <f t="shared" si="38"/>
        <v>2.3394501332736736E-2</v>
      </c>
      <c r="AO27" s="87">
        <f t="shared" si="39"/>
        <v>23394.501332736734</v>
      </c>
      <c r="AP27" s="91">
        <f t="shared" si="40"/>
        <v>39.824116133850595</v>
      </c>
      <c r="AQ27" s="93">
        <f t="shared" si="41"/>
        <v>241.52922567469855</v>
      </c>
      <c r="AR27" s="93">
        <f t="shared" si="42"/>
        <v>724.58767702409557</v>
      </c>
      <c r="AS27" s="91">
        <f t="shared" si="43"/>
        <v>0.91999848219646096</v>
      </c>
      <c r="AT27" s="91">
        <f t="shared" si="44"/>
        <v>4.9098592342440215E-4</v>
      </c>
      <c r="AU27" s="91">
        <f t="shared" si="45"/>
        <v>0</v>
      </c>
      <c r="AV27" s="91">
        <f t="shared" si="46"/>
        <v>54.599892173374997</v>
      </c>
      <c r="AW27" s="91">
        <f t="shared" si="47"/>
        <v>37.116392520124997</v>
      </c>
      <c r="AX27" s="107">
        <f t="shared" si="48"/>
        <v>61.32</v>
      </c>
      <c r="AY27" s="90">
        <f t="shared" si="49"/>
        <v>2.9294544238463396</v>
      </c>
      <c r="AZ27" s="91">
        <f t="shared" si="50"/>
        <v>488.39549515554648</v>
      </c>
      <c r="BA27" s="91">
        <f t="shared" si="51"/>
        <v>381515.02499570668</v>
      </c>
      <c r="BB27" s="87">
        <f t="shared" si="52"/>
        <v>3815150249.957067</v>
      </c>
      <c r="BC27" s="90">
        <f t="shared" si="53"/>
        <v>3.8151502499570671</v>
      </c>
      <c r="BD27" s="87">
        <f t="shared" si="54"/>
        <v>0.5</v>
      </c>
      <c r="BE27" s="87">
        <f t="shared" si="55"/>
        <v>11.74</v>
      </c>
      <c r="BF27" s="87">
        <f t="shared" si="56"/>
        <v>0.33600000000000002</v>
      </c>
      <c r="BG27" s="90">
        <f t="shared" si="57"/>
        <v>0.58744558834920013</v>
      </c>
      <c r="BH27" s="91">
        <f t="shared" si="58"/>
        <v>0</v>
      </c>
      <c r="BI27" s="91">
        <f t="shared" si="59"/>
        <v>0</v>
      </c>
      <c r="BJ27" s="91">
        <f t="shared" si="60"/>
        <v>8.7417498266250018</v>
      </c>
      <c r="BK27" s="91">
        <f t="shared" si="61"/>
        <v>26.225249479875004</v>
      </c>
      <c r="BL27" s="87">
        <f t="shared" si="62"/>
        <v>0</v>
      </c>
      <c r="BM27" s="87">
        <f>0</f>
        <v>0</v>
      </c>
      <c r="BN27" s="92">
        <f t="shared" si="63"/>
        <v>5</v>
      </c>
      <c r="BO27" s="87">
        <f t="shared" si="64"/>
        <v>61.32</v>
      </c>
      <c r="BP27" s="87">
        <f t="shared" si="65"/>
        <v>803.15992719688995</v>
      </c>
      <c r="BQ27" s="87">
        <f t="shared" si="66"/>
        <v>0</v>
      </c>
      <c r="BR27" s="111">
        <f t="shared" si="67"/>
        <v>6.1320000000000003E-3</v>
      </c>
      <c r="BS27" s="92">
        <f t="shared" si="68"/>
        <v>2.3394501332736736E-2</v>
      </c>
      <c r="BT27" s="87">
        <f t="shared" si="69"/>
        <v>23394.501332736734</v>
      </c>
      <c r="BU27" s="91">
        <f t="shared" si="70"/>
        <v>39.824116133850595</v>
      </c>
      <c r="BV27" s="93">
        <f t="shared" si="71"/>
        <v>241.52922567469855</v>
      </c>
      <c r="BW27" s="93">
        <f t="shared" si="72"/>
        <v>724.58767702409557</v>
      </c>
      <c r="BX27" s="91">
        <f t="shared" si="73"/>
        <v>0.91999848219646096</v>
      </c>
      <c r="BY27" s="91">
        <f t="shared" si="74"/>
        <v>4.9098592342440215E-4</v>
      </c>
      <c r="BZ27" s="91">
        <f t="shared" si="75"/>
        <v>0</v>
      </c>
      <c r="CA27" s="91">
        <f>Table2[[#This Row],[sed_del_kg_gullied]]-Table2[[#This Row],[sed_del_kg_no_gully]]</f>
        <v>0</v>
      </c>
      <c r="CB27" s="91">
        <f t="shared" si="76"/>
        <v>54.599892173374997</v>
      </c>
      <c r="CC27" s="91">
        <f t="shared" si="77"/>
        <v>37.116392520124997</v>
      </c>
      <c r="CD27" s="91">
        <f>IF(Gullying!$BM27=1,Gullying!$CC27,Gullying!$CB27)</f>
        <v>54.599892173374997</v>
      </c>
    </row>
    <row r="28" spans="1:82" x14ac:dyDescent="0.4">
      <c r="A28" s="21">
        <v>108</v>
      </c>
      <c r="B28" s="21" t="s">
        <v>94</v>
      </c>
      <c r="C28" s="21">
        <v>66.933215000000004</v>
      </c>
      <c r="D28" s="21">
        <v>620294.1</v>
      </c>
      <c r="E28" s="21">
        <v>6082423.2000000002</v>
      </c>
      <c r="F28" s="21">
        <v>778.5</v>
      </c>
      <c r="G28" s="21">
        <v>9</v>
      </c>
      <c r="H28" s="21">
        <v>0</v>
      </c>
      <c r="I28" s="21">
        <v>33</v>
      </c>
      <c r="J28" s="21">
        <v>0</v>
      </c>
      <c r="K28" s="21">
        <v>100</v>
      </c>
      <c r="L28" s="21">
        <v>4.5</v>
      </c>
      <c r="M28" s="21">
        <v>100</v>
      </c>
      <c r="N28" s="21">
        <v>0</v>
      </c>
      <c r="O28" s="35">
        <v>6</v>
      </c>
      <c r="P28" s="21">
        <v>90</v>
      </c>
      <c r="Q28" s="4">
        <v>781.16</v>
      </c>
      <c r="R28" s="4">
        <v>30.899999619999999</v>
      </c>
      <c r="S28" s="107">
        <f t="shared" si="18"/>
        <v>148.5</v>
      </c>
      <c r="T28" s="90">
        <f t="shared" si="19"/>
        <v>2.3662432634748507</v>
      </c>
      <c r="U28" s="91">
        <f t="shared" si="20"/>
        <v>440.69714198368507</v>
      </c>
      <c r="V28" s="91">
        <f t="shared" si="21"/>
        <v>344254.9794319754</v>
      </c>
      <c r="W28" s="87">
        <f t="shared" si="22"/>
        <v>3442549794.3197541</v>
      </c>
      <c r="X28" s="90">
        <f t="shared" si="23"/>
        <v>3.4425497943197541</v>
      </c>
      <c r="Y28" s="87">
        <f t="shared" si="24"/>
        <v>0.5</v>
      </c>
      <c r="Z28" s="87">
        <f t="shared" si="25"/>
        <v>11.74</v>
      </c>
      <c r="AA28" s="87">
        <f t="shared" si="26"/>
        <v>0.33600000000000002</v>
      </c>
      <c r="AB28" s="90">
        <f t="shared" si="27"/>
        <v>1.4226299717849999</v>
      </c>
      <c r="AC28" s="91">
        <f t="shared" si="28"/>
        <v>0</v>
      </c>
      <c r="AD28" s="91">
        <f t="shared" si="29"/>
        <v>0</v>
      </c>
      <c r="AE28" s="91">
        <f t="shared" si="30"/>
        <v>21.170088865848211</v>
      </c>
      <c r="AF28" s="91">
        <f t="shared" si="31"/>
        <v>63.510266597544629</v>
      </c>
      <c r="AG28" s="87">
        <f t="shared" si="32"/>
        <v>0</v>
      </c>
      <c r="AH28" s="87">
        <f>1</f>
        <v>1</v>
      </c>
      <c r="AI28" s="92">
        <f t="shared" si="33"/>
        <v>6</v>
      </c>
      <c r="AJ28" s="87">
        <f t="shared" si="34"/>
        <v>148.5</v>
      </c>
      <c r="AK28" s="87">
        <f t="shared" si="35"/>
        <v>669.67405634539386</v>
      </c>
      <c r="AL28" s="87">
        <f t="shared" si="36"/>
        <v>0</v>
      </c>
      <c r="AM28" s="111">
        <f t="shared" si="37"/>
        <v>1.485E-2</v>
      </c>
      <c r="AN28" s="92">
        <f t="shared" si="38"/>
        <v>5.1121864445648348E-2</v>
      </c>
      <c r="AO28" s="87">
        <f t="shared" si="39"/>
        <v>51121.864445648345</v>
      </c>
      <c r="AP28" s="91">
        <f t="shared" si="40"/>
        <v>35.934758482210803</v>
      </c>
      <c r="AQ28" s="93">
        <f t="shared" si="41"/>
        <v>105.38959854183278</v>
      </c>
      <c r="AR28" s="93">
        <f t="shared" si="42"/>
        <v>316.16879562549832</v>
      </c>
      <c r="AS28" s="91">
        <f t="shared" si="43"/>
        <v>6.9422594637862289</v>
      </c>
      <c r="AT28" s="91">
        <f t="shared" si="44"/>
        <v>0.25910337080710233</v>
      </c>
      <c r="AU28" s="91">
        <f t="shared" si="45"/>
        <v>0</v>
      </c>
      <c r="AV28" s="91">
        <f t="shared" si="46"/>
        <v>45.76312613415179</v>
      </c>
      <c r="AW28" s="91">
        <f t="shared" si="47"/>
        <v>3.4229484024553756</v>
      </c>
      <c r="AX28" s="107">
        <f t="shared" si="48"/>
        <v>148.5</v>
      </c>
      <c r="AY28" s="90">
        <f t="shared" si="49"/>
        <v>2.3662432634748507</v>
      </c>
      <c r="AZ28" s="91">
        <f t="shared" si="50"/>
        <v>440.69714198368507</v>
      </c>
      <c r="BA28" s="91">
        <f t="shared" si="51"/>
        <v>344254.9794319754</v>
      </c>
      <c r="BB28" s="87">
        <f t="shared" si="52"/>
        <v>3442549794.3197541</v>
      </c>
      <c r="BC28" s="90">
        <f t="shared" si="53"/>
        <v>3.4425497943197541</v>
      </c>
      <c r="BD28" s="87">
        <f t="shared" si="54"/>
        <v>0.5</v>
      </c>
      <c r="BE28" s="87">
        <f t="shared" si="55"/>
        <v>11.74</v>
      </c>
      <c r="BF28" s="87">
        <f t="shared" si="56"/>
        <v>0.33600000000000002</v>
      </c>
      <c r="BG28" s="90">
        <f t="shared" si="57"/>
        <v>1.4226299717849999</v>
      </c>
      <c r="BH28" s="91">
        <f t="shared" si="58"/>
        <v>0</v>
      </c>
      <c r="BI28" s="91">
        <f t="shared" si="59"/>
        <v>0</v>
      </c>
      <c r="BJ28" s="91">
        <f t="shared" si="60"/>
        <v>21.170088865848211</v>
      </c>
      <c r="BK28" s="91">
        <f t="shared" si="61"/>
        <v>63.510266597544629</v>
      </c>
      <c r="BL28" s="87">
        <f t="shared" si="62"/>
        <v>0</v>
      </c>
      <c r="BM28" s="87">
        <f>0</f>
        <v>0</v>
      </c>
      <c r="BN28" s="92">
        <f t="shared" si="63"/>
        <v>6</v>
      </c>
      <c r="BO28" s="87">
        <f t="shared" si="64"/>
        <v>148.5</v>
      </c>
      <c r="BP28" s="87">
        <f t="shared" si="65"/>
        <v>669.67405634539386</v>
      </c>
      <c r="BQ28" s="87">
        <f t="shared" si="66"/>
        <v>0</v>
      </c>
      <c r="BR28" s="111">
        <f t="shared" si="67"/>
        <v>1.485E-2</v>
      </c>
      <c r="BS28" s="92">
        <f t="shared" si="68"/>
        <v>5.1121864445648348E-2</v>
      </c>
      <c r="BT28" s="87">
        <f t="shared" si="69"/>
        <v>51121.864445648345</v>
      </c>
      <c r="BU28" s="91">
        <f t="shared" si="70"/>
        <v>35.934758482210803</v>
      </c>
      <c r="BV28" s="93">
        <f t="shared" si="71"/>
        <v>105.38959854183278</v>
      </c>
      <c r="BW28" s="93">
        <f t="shared" si="72"/>
        <v>316.16879562549832</v>
      </c>
      <c r="BX28" s="91">
        <f t="shared" si="73"/>
        <v>6.9422594637862289</v>
      </c>
      <c r="BY28" s="91">
        <f t="shared" si="74"/>
        <v>0.25910337080710233</v>
      </c>
      <c r="BZ28" s="91">
        <f t="shared" si="75"/>
        <v>0</v>
      </c>
      <c r="CA28" s="91">
        <f>Table2[[#This Row],[sed_del_kg_gullied]]-Table2[[#This Row],[sed_del_kg_no_gully]]</f>
        <v>0</v>
      </c>
      <c r="CB28" s="91">
        <f t="shared" si="76"/>
        <v>45.76312613415179</v>
      </c>
      <c r="CC28" s="91">
        <f t="shared" si="77"/>
        <v>3.4229484024553756</v>
      </c>
      <c r="CD28" s="91">
        <f>IF(Gullying!$BM28=1,Gullying!$CC28,Gullying!$CB28)</f>
        <v>45.76312613415179</v>
      </c>
    </row>
    <row r="29" spans="1:82" x14ac:dyDescent="0.4">
      <c r="A29" s="21">
        <v>76</v>
      </c>
      <c r="B29" s="21" t="s">
        <v>94</v>
      </c>
      <c r="C29" s="21">
        <v>55.777912999999998</v>
      </c>
      <c r="D29" s="21">
        <v>619830.69999999995</v>
      </c>
      <c r="E29" s="21">
        <v>6081625.7000000002</v>
      </c>
      <c r="F29" s="21">
        <v>781.9</v>
      </c>
      <c r="G29" s="21">
        <v>13</v>
      </c>
      <c r="H29" s="21">
        <v>0</v>
      </c>
      <c r="I29" s="21">
        <v>26.44</v>
      </c>
      <c r="J29" s="21">
        <v>0</v>
      </c>
      <c r="K29" s="21">
        <v>100</v>
      </c>
      <c r="L29" s="21">
        <v>3.9</v>
      </c>
      <c r="M29" s="21">
        <v>100</v>
      </c>
      <c r="N29" s="21">
        <v>0</v>
      </c>
      <c r="O29" s="35">
        <v>3</v>
      </c>
      <c r="P29" s="21">
        <v>90</v>
      </c>
      <c r="Q29" s="4">
        <v>781.16</v>
      </c>
      <c r="R29" s="4">
        <v>30.899999619999999</v>
      </c>
      <c r="S29" s="107">
        <f t="shared" si="18"/>
        <v>103.116</v>
      </c>
      <c r="T29" s="90">
        <f t="shared" si="19"/>
        <v>2.8192668236646963</v>
      </c>
      <c r="U29" s="91">
        <f t="shared" si="20"/>
        <v>479.0637072961631</v>
      </c>
      <c r="V29" s="91">
        <f t="shared" si="21"/>
        <v>374225.40559147077</v>
      </c>
      <c r="W29" s="87">
        <f t="shared" si="22"/>
        <v>3742254055.9147077</v>
      </c>
      <c r="X29" s="90">
        <f t="shared" si="23"/>
        <v>3.7422540559147075</v>
      </c>
      <c r="Y29" s="87">
        <f t="shared" si="24"/>
        <v>0.5</v>
      </c>
      <c r="Z29" s="87">
        <f t="shared" si="25"/>
        <v>11.74</v>
      </c>
      <c r="AA29" s="87">
        <f t="shared" si="26"/>
        <v>0.33600000000000002</v>
      </c>
      <c r="AB29" s="90">
        <f t="shared" si="27"/>
        <v>0.98785126040796001</v>
      </c>
      <c r="AC29" s="91">
        <f t="shared" si="28"/>
        <v>0</v>
      </c>
      <c r="AD29" s="91">
        <f t="shared" si="29"/>
        <v>0</v>
      </c>
      <c r="AE29" s="91">
        <f t="shared" si="30"/>
        <v>14.700167565594642</v>
      </c>
      <c r="AF29" s="91">
        <f t="shared" si="31"/>
        <v>44.100502696783927</v>
      </c>
      <c r="AG29" s="87">
        <f t="shared" si="32"/>
        <v>0</v>
      </c>
      <c r="AH29" s="87">
        <f>1</f>
        <v>1</v>
      </c>
      <c r="AI29" s="92">
        <f t="shared" si="33"/>
        <v>3</v>
      </c>
      <c r="AJ29" s="87">
        <f t="shared" si="34"/>
        <v>103.116</v>
      </c>
      <c r="AK29" s="87">
        <f t="shared" si="35"/>
        <v>1337.5125826508179</v>
      </c>
      <c r="AL29" s="87">
        <f t="shared" si="36"/>
        <v>0</v>
      </c>
      <c r="AM29" s="111">
        <f t="shared" si="37"/>
        <v>1.0311600000000001E-2</v>
      </c>
      <c r="AN29" s="92">
        <f t="shared" si="38"/>
        <v>3.8588626922970097E-2</v>
      </c>
      <c r="AO29" s="87">
        <f t="shared" si="39"/>
        <v>38588.626922970099</v>
      </c>
      <c r="AP29" s="91">
        <f t="shared" si="40"/>
        <v>39.063195512889138</v>
      </c>
      <c r="AQ29" s="93">
        <f t="shared" si="41"/>
        <v>126.47908660702785</v>
      </c>
      <c r="AR29" s="93">
        <f t="shared" si="42"/>
        <v>379.43725982108356</v>
      </c>
      <c r="AS29" s="91">
        <f t="shared" si="43"/>
        <v>5.4309114881609304</v>
      </c>
      <c r="AT29" s="91">
        <f t="shared" si="44"/>
        <v>0.10497421601509599</v>
      </c>
      <c r="AU29" s="91">
        <f t="shared" si="45"/>
        <v>0</v>
      </c>
      <c r="AV29" s="91">
        <f t="shared" si="46"/>
        <v>41.077745434405358</v>
      </c>
      <c r="AW29" s="91">
        <f t="shared" si="47"/>
        <v>11.677410303216071</v>
      </c>
      <c r="AX29" s="107">
        <f t="shared" si="48"/>
        <v>103.116</v>
      </c>
      <c r="AY29" s="90">
        <f t="shared" si="49"/>
        <v>2.8192668236646963</v>
      </c>
      <c r="AZ29" s="91">
        <f t="shared" si="50"/>
        <v>479.0637072961631</v>
      </c>
      <c r="BA29" s="91">
        <f t="shared" si="51"/>
        <v>374225.40559147077</v>
      </c>
      <c r="BB29" s="87">
        <f t="shared" si="52"/>
        <v>3742254055.9147077</v>
      </c>
      <c r="BC29" s="90">
        <f t="shared" si="53"/>
        <v>3.7422540559147075</v>
      </c>
      <c r="BD29" s="87">
        <f t="shared" si="54"/>
        <v>0.5</v>
      </c>
      <c r="BE29" s="87">
        <f t="shared" si="55"/>
        <v>11.74</v>
      </c>
      <c r="BF29" s="87">
        <f t="shared" si="56"/>
        <v>0.33600000000000002</v>
      </c>
      <c r="BG29" s="90">
        <f t="shared" si="57"/>
        <v>0.98785126040796001</v>
      </c>
      <c r="BH29" s="91">
        <f t="shared" si="58"/>
        <v>0</v>
      </c>
      <c r="BI29" s="91">
        <f t="shared" si="59"/>
        <v>0</v>
      </c>
      <c r="BJ29" s="91">
        <f t="shared" si="60"/>
        <v>14.700167565594642</v>
      </c>
      <c r="BK29" s="91">
        <f t="shared" si="61"/>
        <v>44.100502696783927</v>
      </c>
      <c r="BL29" s="87">
        <f t="shared" si="62"/>
        <v>0</v>
      </c>
      <c r="BM29" s="87">
        <f>0</f>
        <v>0</v>
      </c>
      <c r="BN29" s="92">
        <f t="shared" si="63"/>
        <v>3</v>
      </c>
      <c r="BO29" s="87">
        <f t="shared" si="64"/>
        <v>103.116</v>
      </c>
      <c r="BP29" s="87">
        <f t="shared" si="65"/>
        <v>1337.5125826508179</v>
      </c>
      <c r="BQ29" s="87">
        <f t="shared" si="66"/>
        <v>0</v>
      </c>
      <c r="BR29" s="111">
        <f t="shared" si="67"/>
        <v>1.0311600000000001E-2</v>
      </c>
      <c r="BS29" s="92">
        <f t="shared" si="68"/>
        <v>3.8588626922970097E-2</v>
      </c>
      <c r="BT29" s="87">
        <f t="shared" si="69"/>
        <v>38588.626922970099</v>
      </c>
      <c r="BU29" s="91">
        <f t="shared" si="70"/>
        <v>39.063195512889138</v>
      </c>
      <c r="BV29" s="93">
        <f t="shared" si="71"/>
        <v>126.47908660702785</v>
      </c>
      <c r="BW29" s="93">
        <f t="shared" si="72"/>
        <v>379.43725982108356</v>
      </c>
      <c r="BX29" s="91">
        <f t="shared" si="73"/>
        <v>5.4309114881609304</v>
      </c>
      <c r="BY29" s="91">
        <f t="shared" si="74"/>
        <v>0.10497421601509599</v>
      </c>
      <c r="BZ29" s="91">
        <f t="shared" si="75"/>
        <v>0</v>
      </c>
      <c r="CA29" s="91">
        <f>Table2[[#This Row],[sed_del_kg_gullied]]-Table2[[#This Row],[sed_del_kg_no_gully]]</f>
        <v>0</v>
      </c>
      <c r="CB29" s="91">
        <f t="shared" si="76"/>
        <v>41.077745434405358</v>
      </c>
      <c r="CC29" s="91">
        <f t="shared" si="77"/>
        <v>11.677410303216071</v>
      </c>
      <c r="CD29" s="91">
        <f>IF(Gullying!$BM29=1,Gullying!$CC29,Gullying!$CB29)</f>
        <v>41.077745434405358</v>
      </c>
    </row>
    <row r="30" spans="1:82" x14ac:dyDescent="0.4">
      <c r="A30" s="21">
        <v>107</v>
      </c>
      <c r="B30" s="21" t="s">
        <v>94</v>
      </c>
      <c r="C30" s="21">
        <v>76.281851000000003</v>
      </c>
      <c r="D30" s="21">
        <v>620287.9</v>
      </c>
      <c r="E30" s="21">
        <v>6082390.7999999998</v>
      </c>
      <c r="F30" s="21">
        <v>783.3</v>
      </c>
      <c r="G30" s="21">
        <v>20</v>
      </c>
      <c r="H30" s="21">
        <v>0</v>
      </c>
      <c r="I30" s="21">
        <v>27.3</v>
      </c>
      <c r="J30" s="21">
        <v>0</v>
      </c>
      <c r="K30" s="21">
        <v>100</v>
      </c>
      <c r="L30" s="21">
        <v>4.2</v>
      </c>
      <c r="M30" s="21">
        <v>100</v>
      </c>
      <c r="N30" s="21">
        <v>0</v>
      </c>
      <c r="O30" s="35">
        <v>15</v>
      </c>
      <c r="P30" s="21">
        <v>90</v>
      </c>
      <c r="Q30" s="4">
        <v>781.16</v>
      </c>
      <c r="R30" s="4">
        <v>30.899999619999999</v>
      </c>
      <c r="S30" s="107">
        <f t="shared" si="18"/>
        <v>114.66000000000001</v>
      </c>
      <c r="T30" s="90">
        <f t="shared" si="19"/>
        <v>3.533596116398225</v>
      </c>
      <c r="U30" s="91">
        <f t="shared" si="20"/>
        <v>539.56025509776566</v>
      </c>
      <c r="V30" s="91">
        <f t="shared" si="21"/>
        <v>421482.88887217059</v>
      </c>
      <c r="W30" s="87">
        <f t="shared" si="22"/>
        <v>4214828888.7217059</v>
      </c>
      <c r="X30" s="90">
        <f t="shared" si="23"/>
        <v>4.2148288887217058</v>
      </c>
      <c r="Y30" s="87">
        <f t="shared" si="24"/>
        <v>0.5</v>
      </c>
      <c r="Z30" s="87">
        <f t="shared" si="25"/>
        <v>11.74</v>
      </c>
      <c r="AA30" s="87">
        <f t="shared" si="26"/>
        <v>0.33600000000000002</v>
      </c>
      <c r="AB30" s="90">
        <f t="shared" si="27"/>
        <v>1.0984427782146002</v>
      </c>
      <c r="AC30" s="91">
        <f t="shared" si="28"/>
        <v>0</v>
      </c>
      <c r="AD30" s="91">
        <f t="shared" si="29"/>
        <v>0</v>
      </c>
      <c r="AE30" s="91">
        <f t="shared" si="30"/>
        <v>16.345874675812503</v>
      </c>
      <c r="AF30" s="91">
        <f t="shared" si="31"/>
        <v>49.037624027437509</v>
      </c>
      <c r="AG30" s="87">
        <f t="shared" si="32"/>
        <v>0</v>
      </c>
      <c r="AH30" s="87">
        <f>1</f>
        <v>1</v>
      </c>
      <c r="AI30" s="92">
        <f t="shared" si="33"/>
        <v>15</v>
      </c>
      <c r="AJ30" s="87">
        <f t="shared" si="34"/>
        <v>114.66000000000001</v>
      </c>
      <c r="AK30" s="87">
        <f t="shared" si="35"/>
        <v>270.45923136093916</v>
      </c>
      <c r="AL30" s="87">
        <f t="shared" si="36"/>
        <v>0</v>
      </c>
      <c r="AM30" s="111">
        <f t="shared" si="37"/>
        <v>1.1466E-2</v>
      </c>
      <c r="AN30" s="92">
        <f t="shared" si="38"/>
        <v>4.8327228038083078E-2</v>
      </c>
      <c r="AO30" s="87">
        <f t="shared" si="39"/>
        <v>48327.228038083078</v>
      </c>
      <c r="AP30" s="91">
        <f t="shared" si="40"/>
        <v>43.996127059648714</v>
      </c>
      <c r="AQ30" s="93">
        <f t="shared" si="41"/>
        <v>155.5578038555025</v>
      </c>
      <c r="AR30" s="93">
        <f t="shared" si="42"/>
        <v>466.67341156650747</v>
      </c>
      <c r="AS30" s="91">
        <f t="shared" si="43"/>
        <v>3.8860758460228002</v>
      </c>
      <c r="AT30" s="91">
        <f t="shared" si="44"/>
        <v>3.0318305354711559E-2</v>
      </c>
      <c r="AU30" s="91">
        <f t="shared" si="45"/>
        <v>0</v>
      </c>
      <c r="AV30" s="91">
        <f t="shared" si="46"/>
        <v>59.9359763241875</v>
      </c>
      <c r="AW30" s="91">
        <f t="shared" si="47"/>
        <v>27.244226972562494</v>
      </c>
      <c r="AX30" s="107">
        <f t="shared" si="48"/>
        <v>114.66000000000001</v>
      </c>
      <c r="AY30" s="90">
        <f t="shared" si="49"/>
        <v>3.533596116398225</v>
      </c>
      <c r="AZ30" s="91">
        <f t="shared" si="50"/>
        <v>539.56025509776566</v>
      </c>
      <c r="BA30" s="91">
        <f t="shared" si="51"/>
        <v>421482.88887217059</v>
      </c>
      <c r="BB30" s="87">
        <f t="shared" si="52"/>
        <v>4214828888.7217059</v>
      </c>
      <c r="BC30" s="90">
        <f t="shared" si="53"/>
        <v>4.2148288887217058</v>
      </c>
      <c r="BD30" s="87">
        <f t="shared" si="54"/>
        <v>0.5</v>
      </c>
      <c r="BE30" s="87">
        <f t="shared" si="55"/>
        <v>11.74</v>
      </c>
      <c r="BF30" s="87">
        <f t="shared" si="56"/>
        <v>0.33600000000000002</v>
      </c>
      <c r="BG30" s="90">
        <f t="shared" si="57"/>
        <v>1.0984427782146002</v>
      </c>
      <c r="BH30" s="91">
        <f t="shared" si="58"/>
        <v>0</v>
      </c>
      <c r="BI30" s="91">
        <f t="shared" si="59"/>
        <v>0</v>
      </c>
      <c r="BJ30" s="91">
        <f t="shared" si="60"/>
        <v>16.345874675812503</v>
      </c>
      <c r="BK30" s="91">
        <f t="shared" si="61"/>
        <v>49.037624027437509</v>
      </c>
      <c r="BL30" s="87">
        <f t="shared" si="62"/>
        <v>0</v>
      </c>
      <c r="BM30" s="87">
        <f>0</f>
        <v>0</v>
      </c>
      <c r="BN30" s="92">
        <f t="shared" si="63"/>
        <v>15</v>
      </c>
      <c r="BO30" s="87">
        <f t="shared" si="64"/>
        <v>114.66000000000001</v>
      </c>
      <c r="BP30" s="87">
        <f t="shared" si="65"/>
        <v>270.45923136093916</v>
      </c>
      <c r="BQ30" s="87">
        <f t="shared" si="66"/>
        <v>0</v>
      </c>
      <c r="BR30" s="111">
        <f t="shared" si="67"/>
        <v>1.1466E-2</v>
      </c>
      <c r="BS30" s="92">
        <f t="shared" si="68"/>
        <v>4.8327228038083078E-2</v>
      </c>
      <c r="BT30" s="87">
        <f t="shared" si="69"/>
        <v>48327.228038083078</v>
      </c>
      <c r="BU30" s="91">
        <f t="shared" si="70"/>
        <v>43.996127059648714</v>
      </c>
      <c r="BV30" s="93">
        <f t="shared" si="71"/>
        <v>155.5578038555025</v>
      </c>
      <c r="BW30" s="93">
        <f t="shared" si="72"/>
        <v>466.67341156650747</v>
      </c>
      <c r="BX30" s="91">
        <f t="shared" si="73"/>
        <v>3.8860758460228002</v>
      </c>
      <c r="BY30" s="91">
        <f t="shared" si="74"/>
        <v>3.0318305354711559E-2</v>
      </c>
      <c r="BZ30" s="91">
        <f t="shared" si="75"/>
        <v>0</v>
      </c>
      <c r="CA30" s="91">
        <f>Table2[[#This Row],[sed_del_kg_gullied]]-Table2[[#This Row],[sed_del_kg_no_gully]]</f>
        <v>0</v>
      </c>
      <c r="CB30" s="91">
        <f t="shared" si="76"/>
        <v>59.9359763241875</v>
      </c>
      <c r="CC30" s="91">
        <f t="shared" si="77"/>
        <v>27.244226972562494</v>
      </c>
      <c r="CD30" s="91">
        <f>IF(Gullying!$BM30=1,Gullying!$CC30,Gullying!$CB30)</f>
        <v>59.9359763241875</v>
      </c>
    </row>
    <row r="31" spans="1:82" x14ac:dyDescent="0.4">
      <c r="A31" s="21">
        <v>77</v>
      </c>
      <c r="B31" s="21" t="s">
        <v>94</v>
      </c>
      <c r="C31" s="21">
        <v>4.3078500000000002</v>
      </c>
      <c r="D31" s="21">
        <v>619836</v>
      </c>
      <c r="E31" s="21">
        <v>6081651.5999999996</v>
      </c>
      <c r="F31" s="21">
        <v>786.2</v>
      </c>
      <c r="G31" s="21">
        <v>17</v>
      </c>
      <c r="H31" s="21">
        <v>0</v>
      </c>
      <c r="I31" s="21">
        <v>25.85</v>
      </c>
      <c r="J31" s="21">
        <v>0</v>
      </c>
      <c r="K31" s="21">
        <v>100</v>
      </c>
      <c r="L31" s="21">
        <v>3.4</v>
      </c>
      <c r="M31" s="21">
        <v>100</v>
      </c>
      <c r="N31" s="21">
        <v>1</v>
      </c>
      <c r="O31" s="35">
        <v>11</v>
      </c>
      <c r="P31" s="21">
        <v>90</v>
      </c>
      <c r="Q31" s="4">
        <v>781.16</v>
      </c>
      <c r="R31" s="4">
        <v>30.899999619999999</v>
      </c>
      <c r="S31" s="107">
        <f t="shared" si="18"/>
        <v>87.89</v>
      </c>
      <c r="T31" s="90">
        <f t="shared" si="19"/>
        <v>3.2456920022533735</v>
      </c>
      <c r="U31" s="91">
        <f t="shared" si="20"/>
        <v>515.17765567083813</v>
      </c>
      <c r="V31" s="91">
        <f t="shared" si="21"/>
        <v>402436.17750383192</v>
      </c>
      <c r="W31" s="87">
        <f t="shared" si="22"/>
        <v>4024361775.0383191</v>
      </c>
      <c r="X31" s="90">
        <f t="shared" si="23"/>
        <v>4.0243617750383187</v>
      </c>
      <c r="Y31" s="87">
        <f t="shared" si="24"/>
        <v>0.5</v>
      </c>
      <c r="Z31" s="87">
        <f t="shared" si="25"/>
        <v>11.74</v>
      </c>
      <c r="AA31" s="87">
        <f t="shared" si="26"/>
        <v>0.33600000000000002</v>
      </c>
      <c r="AB31" s="90">
        <f t="shared" si="27"/>
        <v>0.84198618330090003</v>
      </c>
      <c r="AC31" s="91">
        <f t="shared" si="28"/>
        <v>0.55249866330089992</v>
      </c>
      <c r="AD31" s="91">
        <f t="shared" si="29"/>
        <v>0.74549034330090003</v>
      </c>
      <c r="AE31" s="91">
        <f t="shared" si="30"/>
        <v>12.529556299120534</v>
      </c>
      <c r="AF31" s="91">
        <f t="shared" si="31"/>
        <v>37.5886688973616</v>
      </c>
      <c r="AG31" s="87">
        <f t="shared" si="32"/>
        <v>0</v>
      </c>
      <c r="AH31" s="87">
        <f>1</f>
        <v>1</v>
      </c>
      <c r="AI31" s="92">
        <f t="shared" si="33"/>
        <v>11</v>
      </c>
      <c r="AJ31" s="87">
        <f t="shared" si="34"/>
        <v>87.89</v>
      </c>
      <c r="AK31" s="87">
        <f t="shared" si="35"/>
        <v>366.85901449174941</v>
      </c>
      <c r="AL31" s="87">
        <f t="shared" si="36"/>
        <v>0.74549034330090003</v>
      </c>
      <c r="AM31" s="111">
        <f t="shared" si="37"/>
        <v>8.7889999999999999E-3</v>
      </c>
      <c r="AN31" s="92">
        <f t="shared" si="38"/>
        <v>3.5370115640811786E-2</v>
      </c>
      <c r="AO31" s="87">
        <f t="shared" si="39"/>
        <v>35370.115640811789</v>
      </c>
      <c r="AP31" s="91">
        <f t="shared" si="40"/>
        <v>42.007952555881303</v>
      </c>
      <c r="AQ31" s="93">
        <f t="shared" si="41"/>
        <v>11.460501598933645</v>
      </c>
      <c r="AR31" s="93">
        <f t="shared" si="42"/>
        <v>34.38150479680094</v>
      </c>
      <c r="AS31" s="91">
        <f t="shared" si="43"/>
        <v>35.13069051177564</v>
      </c>
      <c r="AT31" s="91">
        <f t="shared" si="44"/>
        <v>24.569540190634342</v>
      </c>
      <c r="AU31" s="91">
        <f t="shared" si="45"/>
        <v>26.189590530021292</v>
      </c>
      <c r="AV31" s="91">
        <f t="shared" si="46"/>
        <v>0</v>
      </c>
      <c r="AW31" s="91">
        <f t="shared" si="47"/>
        <v>0</v>
      </c>
      <c r="AX31" s="107">
        <f t="shared" si="48"/>
        <v>87.89</v>
      </c>
      <c r="AY31" s="90">
        <f t="shared" si="49"/>
        <v>3.2456920022533735</v>
      </c>
      <c r="AZ31" s="91">
        <f t="shared" si="50"/>
        <v>515.17765567083813</v>
      </c>
      <c r="BA31" s="91">
        <f t="shared" si="51"/>
        <v>402436.17750383192</v>
      </c>
      <c r="BB31" s="87">
        <f t="shared" si="52"/>
        <v>4024361775.0383191</v>
      </c>
      <c r="BC31" s="90">
        <f t="shared" si="53"/>
        <v>4.0243617750383187</v>
      </c>
      <c r="BD31" s="87">
        <f t="shared" si="54"/>
        <v>0.5</v>
      </c>
      <c r="BE31" s="87">
        <f t="shared" si="55"/>
        <v>11.74</v>
      </c>
      <c r="BF31" s="87">
        <f t="shared" si="56"/>
        <v>0.33600000000000002</v>
      </c>
      <c r="BG31" s="90">
        <f t="shared" si="57"/>
        <v>0.84198618330090003</v>
      </c>
      <c r="BH31" s="91">
        <f t="shared" si="58"/>
        <v>0.55249866330089992</v>
      </c>
      <c r="BI31" s="91">
        <f t="shared" si="59"/>
        <v>0.74549034330090003</v>
      </c>
      <c r="BJ31" s="91">
        <f t="shared" si="60"/>
        <v>12.529556299120534</v>
      </c>
      <c r="BK31" s="91">
        <f t="shared" si="61"/>
        <v>37.5886688973616</v>
      </c>
      <c r="BL31" s="87">
        <f t="shared" si="62"/>
        <v>0</v>
      </c>
      <c r="BM31" s="87">
        <f>0</f>
        <v>0</v>
      </c>
      <c r="BN31" s="92">
        <f t="shared" si="63"/>
        <v>11</v>
      </c>
      <c r="BO31" s="87">
        <f t="shared" si="64"/>
        <v>87.89</v>
      </c>
      <c r="BP31" s="87">
        <f t="shared" si="65"/>
        <v>366.85901449174941</v>
      </c>
      <c r="BQ31" s="87">
        <f t="shared" si="66"/>
        <v>0.55249866330089992</v>
      </c>
      <c r="BR31" s="111">
        <f t="shared" si="67"/>
        <v>8.7889999999999999E-3</v>
      </c>
      <c r="BS31" s="92">
        <f t="shared" si="68"/>
        <v>3.5370115640811786E-2</v>
      </c>
      <c r="BT31" s="87">
        <f t="shared" si="69"/>
        <v>35370.115640811789</v>
      </c>
      <c r="BU31" s="91">
        <f t="shared" si="70"/>
        <v>42.007952555881303</v>
      </c>
      <c r="BV31" s="93">
        <f t="shared" si="71"/>
        <v>11.460501598933645</v>
      </c>
      <c r="BW31" s="93">
        <f t="shared" si="72"/>
        <v>34.38150479680094</v>
      </c>
      <c r="BX31" s="91">
        <f t="shared" si="73"/>
        <v>35.13069051177564</v>
      </c>
      <c r="BY31" s="91">
        <f t="shared" si="74"/>
        <v>24.569540190634342</v>
      </c>
      <c r="BZ31" s="91">
        <f t="shared" si="75"/>
        <v>13.574638113243212</v>
      </c>
      <c r="CA31" s="91">
        <f>Table2[[#This Row],[sed_del_kg_gullied]]-Table2[[#This Row],[sed_del_kg_no_gully]]</f>
        <v>12.614952416778079</v>
      </c>
      <c r="CB31" s="91">
        <f t="shared" si="76"/>
        <v>0</v>
      </c>
      <c r="CC31" s="91">
        <f t="shared" si="77"/>
        <v>0</v>
      </c>
      <c r="CD31" s="91">
        <f>IF(Gullying!$BM31=1,Gullying!$CC31,Gullying!$CB31)</f>
        <v>0</v>
      </c>
    </row>
    <row r="32" spans="1:82" x14ac:dyDescent="0.4">
      <c r="A32" s="21">
        <v>127</v>
      </c>
      <c r="B32" s="21" t="s">
        <v>94</v>
      </c>
      <c r="C32" s="21">
        <v>109.3621</v>
      </c>
      <c r="D32" s="21">
        <v>620704.19999999995</v>
      </c>
      <c r="E32" s="21">
        <v>6082561.9000000004</v>
      </c>
      <c r="F32" s="21">
        <v>787.3</v>
      </c>
      <c r="G32" s="21">
        <v>19</v>
      </c>
      <c r="H32" s="21">
        <v>0</v>
      </c>
      <c r="I32" s="21">
        <v>60</v>
      </c>
      <c r="J32" s="21">
        <v>0</v>
      </c>
      <c r="K32" s="21">
        <v>100</v>
      </c>
      <c r="L32" s="21">
        <v>3.2</v>
      </c>
      <c r="M32" s="21">
        <v>100</v>
      </c>
      <c r="N32" s="21">
        <v>0</v>
      </c>
      <c r="O32" s="35">
        <v>10</v>
      </c>
      <c r="P32" s="21">
        <v>90</v>
      </c>
      <c r="Q32" s="4">
        <v>781.16</v>
      </c>
      <c r="R32" s="4">
        <v>30.899999619999999</v>
      </c>
      <c r="S32" s="107">
        <f t="shared" si="18"/>
        <v>192</v>
      </c>
      <c r="T32" s="90">
        <f t="shared" si="19"/>
        <v>3.4412021192905757</v>
      </c>
      <c r="U32" s="91">
        <f t="shared" si="20"/>
        <v>531.73540748271887</v>
      </c>
      <c r="V32" s="91">
        <f t="shared" si="21"/>
        <v>415370.43090920063</v>
      </c>
      <c r="W32" s="87">
        <f t="shared" si="22"/>
        <v>4153704309.0920062</v>
      </c>
      <c r="X32" s="90">
        <f t="shared" si="23"/>
        <v>4.1537043090920065</v>
      </c>
      <c r="Y32" s="87">
        <f t="shared" si="24"/>
        <v>0.5</v>
      </c>
      <c r="Z32" s="87">
        <f t="shared" si="25"/>
        <v>11.74</v>
      </c>
      <c r="AA32" s="87">
        <f t="shared" si="26"/>
        <v>0.33600000000000002</v>
      </c>
      <c r="AB32" s="90">
        <f t="shared" si="27"/>
        <v>1.83935996352</v>
      </c>
      <c r="AC32" s="91">
        <f t="shared" si="28"/>
        <v>0</v>
      </c>
      <c r="AD32" s="91">
        <f t="shared" si="29"/>
        <v>0</v>
      </c>
      <c r="AE32" s="91">
        <f t="shared" si="30"/>
        <v>27.37142802857143</v>
      </c>
      <c r="AF32" s="91">
        <f t="shared" si="31"/>
        <v>82.114284085714289</v>
      </c>
      <c r="AG32" s="87">
        <f t="shared" si="32"/>
        <v>0</v>
      </c>
      <c r="AH32" s="87">
        <f>1</f>
        <v>1</v>
      </c>
      <c r="AI32" s="92">
        <f t="shared" si="33"/>
        <v>10</v>
      </c>
      <c r="AJ32" s="87">
        <f t="shared" si="34"/>
        <v>192</v>
      </c>
      <c r="AK32" s="87">
        <f t="shared" si="35"/>
        <v>403.1139338200544</v>
      </c>
      <c r="AL32" s="87">
        <f t="shared" si="36"/>
        <v>0</v>
      </c>
      <c r="AM32" s="111">
        <f t="shared" si="37"/>
        <v>1.9199999999999998E-2</v>
      </c>
      <c r="AN32" s="92">
        <f t="shared" si="38"/>
        <v>7.9751122734566512E-2</v>
      </c>
      <c r="AO32" s="87">
        <f t="shared" si="39"/>
        <v>79751.12273456651</v>
      </c>
      <c r="AP32" s="91">
        <f t="shared" si="40"/>
        <v>43.358083418291898</v>
      </c>
      <c r="AQ32" s="93">
        <f t="shared" si="41"/>
        <v>133.18279665672213</v>
      </c>
      <c r="AR32" s="93">
        <f t="shared" si="42"/>
        <v>399.5483899701664</v>
      </c>
      <c r="AS32" s="91">
        <f t="shared" si="43"/>
        <v>5.4294700185310711</v>
      </c>
      <c r="AT32" s="91">
        <f t="shared" si="44"/>
        <v>8.5139709638557867E-2</v>
      </c>
      <c r="AU32" s="91">
        <f t="shared" si="45"/>
        <v>0</v>
      </c>
      <c r="AV32" s="91">
        <f t="shared" si="46"/>
        <v>81.990671971428569</v>
      </c>
      <c r="AW32" s="91">
        <f t="shared" si="47"/>
        <v>27.247815914285709</v>
      </c>
      <c r="AX32" s="107">
        <f t="shared" si="48"/>
        <v>192</v>
      </c>
      <c r="AY32" s="90">
        <f t="shared" si="49"/>
        <v>3.4412021192905757</v>
      </c>
      <c r="AZ32" s="91">
        <f t="shared" si="50"/>
        <v>531.73540748271887</v>
      </c>
      <c r="BA32" s="91">
        <f t="shared" si="51"/>
        <v>415370.43090920063</v>
      </c>
      <c r="BB32" s="87">
        <f t="shared" si="52"/>
        <v>4153704309.0920062</v>
      </c>
      <c r="BC32" s="90">
        <f t="shared" si="53"/>
        <v>4.1537043090920065</v>
      </c>
      <c r="BD32" s="87">
        <f t="shared" si="54"/>
        <v>0.5</v>
      </c>
      <c r="BE32" s="87">
        <f t="shared" si="55"/>
        <v>11.74</v>
      </c>
      <c r="BF32" s="87">
        <f t="shared" si="56"/>
        <v>0.33600000000000002</v>
      </c>
      <c r="BG32" s="90">
        <f t="shared" si="57"/>
        <v>1.83935996352</v>
      </c>
      <c r="BH32" s="91">
        <f t="shared" si="58"/>
        <v>0</v>
      </c>
      <c r="BI32" s="91">
        <f t="shared" si="59"/>
        <v>0</v>
      </c>
      <c r="BJ32" s="91">
        <f t="shared" si="60"/>
        <v>27.37142802857143</v>
      </c>
      <c r="BK32" s="91">
        <f t="shared" si="61"/>
        <v>82.114284085714289</v>
      </c>
      <c r="BL32" s="87">
        <f t="shared" si="62"/>
        <v>0</v>
      </c>
      <c r="BM32" s="87">
        <f>0</f>
        <v>0</v>
      </c>
      <c r="BN32" s="92">
        <f t="shared" si="63"/>
        <v>10</v>
      </c>
      <c r="BO32" s="87">
        <f t="shared" si="64"/>
        <v>192</v>
      </c>
      <c r="BP32" s="87">
        <f t="shared" si="65"/>
        <v>403.1139338200544</v>
      </c>
      <c r="BQ32" s="87">
        <f t="shared" si="66"/>
        <v>0</v>
      </c>
      <c r="BR32" s="111">
        <f t="shared" si="67"/>
        <v>1.9199999999999998E-2</v>
      </c>
      <c r="BS32" s="92">
        <f t="shared" si="68"/>
        <v>7.9751122734566512E-2</v>
      </c>
      <c r="BT32" s="87">
        <f t="shared" si="69"/>
        <v>79751.12273456651</v>
      </c>
      <c r="BU32" s="91">
        <f t="shared" si="70"/>
        <v>43.358083418291898</v>
      </c>
      <c r="BV32" s="93">
        <f t="shared" si="71"/>
        <v>133.18279665672213</v>
      </c>
      <c r="BW32" s="93">
        <f t="shared" si="72"/>
        <v>399.5483899701664</v>
      </c>
      <c r="BX32" s="91">
        <f t="shared" si="73"/>
        <v>5.4294700185310711</v>
      </c>
      <c r="BY32" s="91">
        <f t="shared" si="74"/>
        <v>8.5139709638557867E-2</v>
      </c>
      <c r="BZ32" s="91">
        <f t="shared" si="75"/>
        <v>0</v>
      </c>
      <c r="CA32" s="91">
        <f>Table2[[#This Row],[sed_del_kg_gullied]]-Table2[[#This Row],[sed_del_kg_no_gully]]</f>
        <v>0</v>
      </c>
      <c r="CB32" s="91">
        <f t="shared" si="76"/>
        <v>81.990671971428569</v>
      </c>
      <c r="CC32" s="91">
        <f t="shared" si="77"/>
        <v>27.247815914285709</v>
      </c>
      <c r="CD32" s="91">
        <f>IF(Gullying!$BM32=1,Gullying!$CC32,Gullying!$CB32)</f>
        <v>81.990671971428569</v>
      </c>
    </row>
    <row r="33" spans="1:82" x14ac:dyDescent="0.4">
      <c r="A33" s="21">
        <v>106</v>
      </c>
      <c r="B33" s="21" t="s">
        <v>94</v>
      </c>
      <c r="C33" s="21">
        <v>99.606858000000003</v>
      </c>
      <c r="D33" s="21">
        <v>620302.4</v>
      </c>
      <c r="E33" s="21">
        <v>6082367.5999999996</v>
      </c>
      <c r="F33" s="21">
        <v>788.5</v>
      </c>
      <c r="G33" s="21">
        <v>11</v>
      </c>
      <c r="H33" s="21">
        <v>0</v>
      </c>
      <c r="I33" s="21">
        <v>60.95</v>
      </c>
      <c r="J33" s="21">
        <v>0</v>
      </c>
      <c r="K33" s="21">
        <v>100</v>
      </c>
      <c r="L33" s="21">
        <v>3.5</v>
      </c>
      <c r="M33" s="21">
        <v>100</v>
      </c>
      <c r="N33" s="21">
        <v>0</v>
      </c>
      <c r="O33" s="35">
        <v>4</v>
      </c>
      <c r="P33" s="21">
        <v>90</v>
      </c>
      <c r="Q33" s="4">
        <v>781.16</v>
      </c>
      <c r="R33" s="4">
        <v>30.899999619999999</v>
      </c>
      <c r="S33" s="107">
        <f t="shared" si="18"/>
        <v>213.32500000000002</v>
      </c>
      <c r="T33" s="90">
        <f t="shared" si="19"/>
        <v>2.5942500198766076</v>
      </c>
      <c r="U33" s="91">
        <f t="shared" si="20"/>
        <v>460.0070341833499</v>
      </c>
      <c r="V33" s="91">
        <f t="shared" si="21"/>
        <v>359339.09482266562</v>
      </c>
      <c r="W33" s="87">
        <f t="shared" si="22"/>
        <v>3593390948.226656</v>
      </c>
      <c r="X33" s="90">
        <f t="shared" si="23"/>
        <v>3.5933909482266562</v>
      </c>
      <c r="Y33" s="87">
        <f t="shared" si="24"/>
        <v>0.5</v>
      </c>
      <c r="Z33" s="87">
        <f t="shared" si="25"/>
        <v>11.74</v>
      </c>
      <c r="AA33" s="87">
        <f t="shared" si="26"/>
        <v>0.33600000000000002</v>
      </c>
      <c r="AB33" s="90">
        <f t="shared" si="27"/>
        <v>2.0436534594682501</v>
      </c>
      <c r="AC33" s="91">
        <f t="shared" si="28"/>
        <v>0</v>
      </c>
      <c r="AD33" s="91">
        <f t="shared" si="29"/>
        <v>0</v>
      </c>
      <c r="AE33" s="91">
        <f t="shared" si="30"/>
        <v>30.411509813515622</v>
      </c>
      <c r="AF33" s="91">
        <f t="shared" si="31"/>
        <v>91.234529440546865</v>
      </c>
      <c r="AG33" s="87">
        <f t="shared" si="32"/>
        <v>0</v>
      </c>
      <c r="AH33" s="87">
        <f>1</f>
        <v>1</v>
      </c>
      <c r="AI33" s="92">
        <f t="shared" si="33"/>
        <v>4</v>
      </c>
      <c r="AJ33" s="87">
        <f t="shared" si="34"/>
        <v>213.32500000000002</v>
      </c>
      <c r="AK33" s="87">
        <f t="shared" si="35"/>
        <v>1003.4910918342573</v>
      </c>
      <c r="AL33" s="87">
        <f t="shared" si="36"/>
        <v>0</v>
      </c>
      <c r="AM33" s="111">
        <f t="shared" si="37"/>
        <v>2.1332500000000001E-2</v>
      </c>
      <c r="AN33" s="92">
        <f t="shared" si="38"/>
        <v>7.6656012403045148E-2</v>
      </c>
      <c r="AO33" s="87">
        <f t="shared" si="39"/>
        <v>76656.012403045155</v>
      </c>
      <c r="AP33" s="91">
        <f t="shared" si="40"/>
        <v>37.509300829794661</v>
      </c>
      <c r="AQ33" s="93">
        <f t="shared" si="41"/>
        <v>109.17671040864958</v>
      </c>
      <c r="AR33" s="93">
        <f t="shared" si="42"/>
        <v>327.53013122594876</v>
      </c>
      <c r="AS33" s="91">
        <f t="shared" si="43"/>
        <v>6.8307347316485441</v>
      </c>
      <c r="AT33" s="91">
        <f t="shared" si="44"/>
        <v>0.22652926824714736</v>
      </c>
      <c r="AU33" s="91">
        <f t="shared" si="45"/>
        <v>0</v>
      </c>
      <c r="AV33" s="91">
        <f t="shared" si="46"/>
        <v>69.195348186484381</v>
      </c>
      <c r="AW33" s="91">
        <f t="shared" si="47"/>
        <v>8.3723285594531376</v>
      </c>
      <c r="AX33" s="107">
        <f t="shared" si="48"/>
        <v>213.32500000000002</v>
      </c>
      <c r="AY33" s="90">
        <f t="shared" si="49"/>
        <v>2.5942500198766076</v>
      </c>
      <c r="AZ33" s="91">
        <f t="shared" si="50"/>
        <v>460.0070341833499</v>
      </c>
      <c r="BA33" s="91">
        <f t="shared" si="51"/>
        <v>359339.09482266562</v>
      </c>
      <c r="BB33" s="87">
        <f t="shared" si="52"/>
        <v>3593390948.226656</v>
      </c>
      <c r="BC33" s="90">
        <f t="shared" si="53"/>
        <v>3.5933909482266562</v>
      </c>
      <c r="BD33" s="87">
        <f t="shared" si="54"/>
        <v>0.5</v>
      </c>
      <c r="BE33" s="87">
        <f t="shared" si="55"/>
        <v>11.74</v>
      </c>
      <c r="BF33" s="87">
        <f t="shared" si="56"/>
        <v>0.33600000000000002</v>
      </c>
      <c r="BG33" s="90">
        <f t="shared" si="57"/>
        <v>2.0436534594682501</v>
      </c>
      <c r="BH33" s="91">
        <f t="shared" si="58"/>
        <v>0</v>
      </c>
      <c r="BI33" s="91">
        <f t="shared" si="59"/>
        <v>0</v>
      </c>
      <c r="BJ33" s="91">
        <f t="shared" si="60"/>
        <v>30.411509813515622</v>
      </c>
      <c r="BK33" s="91">
        <f t="shared" si="61"/>
        <v>91.234529440546865</v>
      </c>
      <c r="BL33" s="87">
        <f t="shared" si="62"/>
        <v>0</v>
      </c>
      <c r="BM33" s="87">
        <f>0</f>
        <v>0</v>
      </c>
      <c r="BN33" s="92">
        <f t="shared" si="63"/>
        <v>4</v>
      </c>
      <c r="BO33" s="87">
        <f t="shared" si="64"/>
        <v>213.32500000000002</v>
      </c>
      <c r="BP33" s="87">
        <f t="shared" si="65"/>
        <v>1003.4910918342573</v>
      </c>
      <c r="BQ33" s="87">
        <f t="shared" si="66"/>
        <v>0</v>
      </c>
      <c r="BR33" s="111">
        <f t="shared" si="67"/>
        <v>2.1332500000000001E-2</v>
      </c>
      <c r="BS33" s="92">
        <f t="shared" si="68"/>
        <v>7.6656012403045148E-2</v>
      </c>
      <c r="BT33" s="87">
        <f t="shared" si="69"/>
        <v>76656.012403045155</v>
      </c>
      <c r="BU33" s="91">
        <f t="shared" si="70"/>
        <v>37.509300829794661</v>
      </c>
      <c r="BV33" s="93">
        <f t="shared" si="71"/>
        <v>109.17671040864958</v>
      </c>
      <c r="BW33" s="93">
        <f t="shared" si="72"/>
        <v>327.53013122594876</v>
      </c>
      <c r="BX33" s="91">
        <f t="shared" si="73"/>
        <v>6.8307347316485441</v>
      </c>
      <c r="BY33" s="91">
        <f t="shared" si="74"/>
        <v>0.22652926824714736</v>
      </c>
      <c r="BZ33" s="91">
        <f t="shared" si="75"/>
        <v>0</v>
      </c>
      <c r="CA33" s="91">
        <f>Table2[[#This Row],[sed_del_kg_gullied]]-Table2[[#This Row],[sed_del_kg_no_gully]]</f>
        <v>0</v>
      </c>
      <c r="CB33" s="91">
        <f t="shared" si="76"/>
        <v>69.195348186484381</v>
      </c>
      <c r="CC33" s="91">
        <f t="shared" si="77"/>
        <v>8.3723285594531376</v>
      </c>
      <c r="CD33" s="91">
        <f>IF(Gullying!$BM33=1,Gullying!$CC33,Gullying!$CB33)</f>
        <v>69.195348186484381</v>
      </c>
    </row>
    <row r="34" spans="1:82" x14ac:dyDescent="0.4">
      <c r="A34" s="21">
        <v>78</v>
      </c>
      <c r="B34" s="21" t="s">
        <v>94</v>
      </c>
      <c r="C34" s="21">
        <v>93.388644999999997</v>
      </c>
      <c r="D34" s="21">
        <v>619847.80000000005</v>
      </c>
      <c r="E34" s="21">
        <v>6081674.5999999996</v>
      </c>
      <c r="F34" s="21">
        <v>794.2</v>
      </c>
      <c r="G34" s="21">
        <v>14</v>
      </c>
      <c r="H34" s="21">
        <v>0</v>
      </c>
      <c r="I34" s="21">
        <v>28.81</v>
      </c>
      <c r="J34" s="21">
        <v>0</v>
      </c>
      <c r="K34" s="21">
        <v>100</v>
      </c>
      <c r="L34" s="21">
        <v>5.6</v>
      </c>
      <c r="M34" s="21">
        <v>100</v>
      </c>
      <c r="N34" s="21">
        <v>1</v>
      </c>
      <c r="O34" s="35">
        <v>15</v>
      </c>
      <c r="P34" s="21">
        <v>90</v>
      </c>
      <c r="Q34" s="4">
        <v>781.16</v>
      </c>
      <c r="R34" s="4">
        <v>30.899999619999999</v>
      </c>
      <c r="S34" s="107">
        <f t="shared" si="18"/>
        <v>161.33599999999998</v>
      </c>
      <c r="T34" s="90">
        <f t="shared" si="19"/>
        <v>2.9294544238463396</v>
      </c>
      <c r="U34" s="91">
        <f t="shared" si="20"/>
        <v>488.39549515554648</v>
      </c>
      <c r="V34" s="91">
        <f t="shared" si="21"/>
        <v>381515.02499570668</v>
      </c>
      <c r="W34" s="87">
        <f t="shared" si="22"/>
        <v>3815150249.957067</v>
      </c>
      <c r="X34" s="90">
        <f t="shared" si="23"/>
        <v>3.8151502499570671</v>
      </c>
      <c r="Y34" s="87">
        <f t="shared" si="24"/>
        <v>0.5</v>
      </c>
      <c r="Z34" s="87">
        <f t="shared" si="25"/>
        <v>11.74</v>
      </c>
      <c r="AA34" s="87">
        <f t="shared" si="26"/>
        <v>0.33600000000000002</v>
      </c>
      <c r="AB34" s="90">
        <f t="shared" si="27"/>
        <v>1.5455988493461599</v>
      </c>
      <c r="AC34" s="91">
        <f t="shared" si="28"/>
        <v>0</v>
      </c>
      <c r="AD34" s="91">
        <f t="shared" si="29"/>
        <v>0</v>
      </c>
      <c r="AE34" s="91">
        <f t="shared" si="30"/>
        <v>22.999982877174997</v>
      </c>
      <c r="AF34" s="91">
        <f t="shared" si="31"/>
        <v>68.999948631524987</v>
      </c>
      <c r="AG34" s="87">
        <f t="shared" si="32"/>
        <v>0</v>
      </c>
      <c r="AH34" s="87">
        <f>1</f>
        <v>1</v>
      </c>
      <c r="AI34" s="92">
        <f t="shared" si="33"/>
        <v>15</v>
      </c>
      <c r="AJ34" s="87">
        <f t="shared" si="34"/>
        <v>161.33599999999998</v>
      </c>
      <c r="AK34" s="87">
        <f t="shared" si="35"/>
        <v>270.45923136093916</v>
      </c>
      <c r="AL34" s="87">
        <f t="shared" si="36"/>
        <v>0</v>
      </c>
      <c r="AM34" s="111">
        <f t="shared" si="37"/>
        <v>1.6133599999999998E-2</v>
      </c>
      <c r="AN34" s="92">
        <f t="shared" si="38"/>
        <v>6.1552108072707327E-2</v>
      </c>
      <c r="AO34" s="87">
        <f t="shared" si="39"/>
        <v>61552.108072707328</v>
      </c>
      <c r="AP34" s="91">
        <f t="shared" si="40"/>
        <v>39.824116133850602</v>
      </c>
      <c r="AQ34" s="93">
        <f t="shared" si="41"/>
        <v>135.345963079938</v>
      </c>
      <c r="AR34" s="93">
        <f t="shared" si="42"/>
        <v>406.03788923981404</v>
      </c>
      <c r="AS34" s="91">
        <f t="shared" si="43"/>
        <v>4.8214544601017622</v>
      </c>
      <c r="AT34" s="91">
        <f t="shared" si="44"/>
        <v>7.0671110512632182E-2</v>
      </c>
      <c r="AU34" s="91">
        <f t="shared" si="45"/>
        <v>0</v>
      </c>
      <c r="AV34" s="91">
        <f t="shared" si="46"/>
        <v>70.388662122824996</v>
      </c>
      <c r="AW34" s="91">
        <f t="shared" si="47"/>
        <v>24.38869636847501</v>
      </c>
      <c r="AX34" s="107">
        <f t="shared" si="48"/>
        <v>161.33599999999998</v>
      </c>
      <c r="AY34" s="90">
        <f t="shared" si="49"/>
        <v>2.9294544238463396</v>
      </c>
      <c r="AZ34" s="91">
        <f t="shared" si="50"/>
        <v>488.39549515554648</v>
      </c>
      <c r="BA34" s="91">
        <f t="shared" si="51"/>
        <v>381515.02499570668</v>
      </c>
      <c r="BB34" s="87">
        <f t="shared" si="52"/>
        <v>3815150249.957067</v>
      </c>
      <c r="BC34" s="90">
        <f t="shared" si="53"/>
        <v>3.8151502499570671</v>
      </c>
      <c r="BD34" s="87">
        <f t="shared" si="54"/>
        <v>0.5</v>
      </c>
      <c r="BE34" s="87">
        <f t="shared" si="55"/>
        <v>11.74</v>
      </c>
      <c r="BF34" s="87">
        <f t="shared" si="56"/>
        <v>0.33600000000000002</v>
      </c>
      <c r="BG34" s="90">
        <f t="shared" si="57"/>
        <v>1.5455988493461599</v>
      </c>
      <c r="BH34" s="91">
        <f t="shared" si="58"/>
        <v>0</v>
      </c>
      <c r="BI34" s="91">
        <f t="shared" si="59"/>
        <v>0</v>
      </c>
      <c r="BJ34" s="91">
        <f t="shared" si="60"/>
        <v>22.999982877174997</v>
      </c>
      <c r="BK34" s="91">
        <f t="shared" si="61"/>
        <v>68.999948631524987</v>
      </c>
      <c r="BL34" s="87">
        <f t="shared" si="62"/>
        <v>0</v>
      </c>
      <c r="BM34" s="87">
        <f>0</f>
        <v>0</v>
      </c>
      <c r="BN34" s="92">
        <f t="shared" si="63"/>
        <v>15</v>
      </c>
      <c r="BO34" s="87">
        <f t="shared" si="64"/>
        <v>161.33599999999998</v>
      </c>
      <c r="BP34" s="87">
        <f t="shared" si="65"/>
        <v>270.45923136093916</v>
      </c>
      <c r="BQ34" s="87">
        <f t="shared" si="66"/>
        <v>0</v>
      </c>
      <c r="BR34" s="111">
        <f t="shared" si="67"/>
        <v>1.6133599999999998E-2</v>
      </c>
      <c r="BS34" s="92">
        <f t="shared" si="68"/>
        <v>6.1552108072707327E-2</v>
      </c>
      <c r="BT34" s="87">
        <f t="shared" si="69"/>
        <v>61552.108072707328</v>
      </c>
      <c r="BU34" s="91">
        <f t="shared" si="70"/>
        <v>39.824116133850602</v>
      </c>
      <c r="BV34" s="93">
        <f t="shared" si="71"/>
        <v>135.345963079938</v>
      </c>
      <c r="BW34" s="93">
        <f t="shared" si="72"/>
        <v>406.03788923981404</v>
      </c>
      <c r="BX34" s="91">
        <f t="shared" si="73"/>
        <v>4.8214544601017622</v>
      </c>
      <c r="BY34" s="91">
        <f t="shared" si="74"/>
        <v>7.0671110512632182E-2</v>
      </c>
      <c r="BZ34" s="91">
        <f t="shared" si="75"/>
        <v>0</v>
      </c>
      <c r="CA34" s="91">
        <f>Table2[[#This Row],[sed_del_kg_gullied]]-Table2[[#This Row],[sed_del_kg_no_gully]]</f>
        <v>0</v>
      </c>
      <c r="CB34" s="91">
        <f t="shared" si="76"/>
        <v>70.388662122824996</v>
      </c>
      <c r="CC34" s="91">
        <f t="shared" si="77"/>
        <v>24.38869636847501</v>
      </c>
      <c r="CD34" s="91">
        <f>IF(Gullying!$BM34=1,Gullying!$CC34,Gullying!$CB34)</f>
        <v>70.388662122824996</v>
      </c>
    </row>
    <row r="35" spans="1:82" x14ac:dyDescent="0.4">
      <c r="A35" s="21">
        <v>105</v>
      </c>
      <c r="B35" s="21" t="s">
        <v>94</v>
      </c>
      <c r="C35" s="21">
        <v>57.874946000000001</v>
      </c>
      <c r="D35" s="21">
        <v>620290.6</v>
      </c>
      <c r="E35" s="21">
        <v>6082307.7999999998</v>
      </c>
      <c r="F35" s="21">
        <v>794.8</v>
      </c>
      <c r="G35" s="21">
        <v>10</v>
      </c>
      <c r="H35" s="21">
        <v>0</v>
      </c>
      <c r="I35" s="21">
        <v>38.15</v>
      </c>
      <c r="J35" s="21">
        <v>0</v>
      </c>
      <c r="K35" s="21">
        <v>100</v>
      </c>
      <c r="L35" s="21">
        <v>2.8</v>
      </c>
      <c r="M35" s="21">
        <v>100</v>
      </c>
      <c r="N35" s="21">
        <v>0</v>
      </c>
      <c r="O35" s="35">
        <v>6</v>
      </c>
      <c r="P35" s="21">
        <v>90</v>
      </c>
      <c r="Q35" s="4">
        <v>781.16</v>
      </c>
      <c r="R35" s="4">
        <v>30.899999619999999</v>
      </c>
      <c r="S35" s="107">
        <f t="shared" si="18"/>
        <v>106.82</v>
      </c>
      <c r="T35" s="90">
        <f t="shared" si="19"/>
        <v>2.4803708090655769</v>
      </c>
      <c r="U35" s="91">
        <f t="shared" si="20"/>
        <v>450.36260381976365</v>
      </c>
      <c r="V35" s="91">
        <f t="shared" si="21"/>
        <v>351805.25159984658</v>
      </c>
      <c r="W35" s="87">
        <f t="shared" si="22"/>
        <v>3518052515.998466</v>
      </c>
      <c r="X35" s="90">
        <f t="shared" si="23"/>
        <v>3.5180525159984661</v>
      </c>
      <c r="Y35" s="87">
        <f t="shared" si="24"/>
        <v>0.5</v>
      </c>
      <c r="Z35" s="87">
        <f t="shared" si="25"/>
        <v>11.74</v>
      </c>
      <c r="AA35" s="87">
        <f t="shared" si="26"/>
        <v>0.33600000000000002</v>
      </c>
      <c r="AB35" s="90">
        <f t="shared" si="27"/>
        <v>1.0233355797042001</v>
      </c>
      <c r="AC35" s="91">
        <f t="shared" si="28"/>
        <v>0</v>
      </c>
      <c r="AD35" s="91">
        <f t="shared" si="29"/>
        <v>0</v>
      </c>
      <c r="AE35" s="91">
        <f t="shared" si="30"/>
        <v>15.228208031312501</v>
      </c>
      <c r="AF35" s="91">
        <f t="shared" si="31"/>
        <v>45.684624093937501</v>
      </c>
      <c r="AG35" s="87">
        <f t="shared" si="32"/>
        <v>0</v>
      </c>
      <c r="AH35" s="87">
        <f>1</f>
        <v>1</v>
      </c>
      <c r="AI35" s="92">
        <f t="shared" si="33"/>
        <v>6</v>
      </c>
      <c r="AJ35" s="87">
        <f t="shared" si="34"/>
        <v>106.82</v>
      </c>
      <c r="AK35" s="87">
        <f t="shared" si="35"/>
        <v>669.67405634539386</v>
      </c>
      <c r="AL35" s="87">
        <f t="shared" si="36"/>
        <v>0</v>
      </c>
      <c r="AM35" s="111">
        <f t="shared" si="37"/>
        <v>1.0681999999999999E-2</v>
      </c>
      <c r="AN35" s="92">
        <f t="shared" si="38"/>
        <v>3.7579836975895613E-2</v>
      </c>
      <c r="AO35" s="87">
        <f t="shared" si="39"/>
        <v>37579.836975895611</v>
      </c>
      <c r="AP35" s="91">
        <f t="shared" si="40"/>
        <v>36.722887116617443</v>
      </c>
      <c r="AQ35" s="93">
        <f t="shared" si="41"/>
        <v>126.68364279630835</v>
      </c>
      <c r="AR35" s="93">
        <f t="shared" si="42"/>
        <v>380.050928388925</v>
      </c>
      <c r="AS35" s="91">
        <f t="shared" si="43"/>
        <v>5.0892748776088839</v>
      </c>
      <c r="AT35" s="91">
        <f t="shared" si="44"/>
        <v>9.7744896125909073E-2</v>
      </c>
      <c r="AU35" s="91">
        <f t="shared" si="45"/>
        <v>0</v>
      </c>
      <c r="AV35" s="91">
        <f t="shared" si="46"/>
        <v>42.646737968687503</v>
      </c>
      <c r="AW35" s="91">
        <f t="shared" si="47"/>
        <v>12.190321906062501</v>
      </c>
      <c r="AX35" s="107">
        <f t="shared" si="48"/>
        <v>106.82</v>
      </c>
      <c r="AY35" s="90">
        <f t="shared" si="49"/>
        <v>2.4803708090655769</v>
      </c>
      <c r="AZ35" s="91">
        <f t="shared" si="50"/>
        <v>450.36260381976365</v>
      </c>
      <c r="BA35" s="91">
        <f t="shared" si="51"/>
        <v>351805.25159984658</v>
      </c>
      <c r="BB35" s="87">
        <f t="shared" si="52"/>
        <v>3518052515.998466</v>
      </c>
      <c r="BC35" s="90">
        <f t="shared" si="53"/>
        <v>3.5180525159984661</v>
      </c>
      <c r="BD35" s="87">
        <f t="shared" si="54"/>
        <v>0.5</v>
      </c>
      <c r="BE35" s="87">
        <f t="shared" si="55"/>
        <v>11.74</v>
      </c>
      <c r="BF35" s="87">
        <f t="shared" si="56"/>
        <v>0.33600000000000002</v>
      </c>
      <c r="BG35" s="90">
        <f t="shared" si="57"/>
        <v>1.0233355797042001</v>
      </c>
      <c r="BH35" s="91">
        <f t="shared" si="58"/>
        <v>0</v>
      </c>
      <c r="BI35" s="91">
        <f t="shared" si="59"/>
        <v>0</v>
      </c>
      <c r="BJ35" s="91">
        <f t="shared" si="60"/>
        <v>15.228208031312501</v>
      </c>
      <c r="BK35" s="91">
        <f t="shared" si="61"/>
        <v>45.684624093937501</v>
      </c>
      <c r="BL35" s="87">
        <f t="shared" si="62"/>
        <v>0</v>
      </c>
      <c r="BM35" s="87">
        <f>0</f>
        <v>0</v>
      </c>
      <c r="BN35" s="92">
        <f t="shared" si="63"/>
        <v>6</v>
      </c>
      <c r="BO35" s="87">
        <f t="shared" si="64"/>
        <v>106.82</v>
      </c>
      <c r="BP35" s="87">
        <f t="shared" si="65"/>
        <v>669.67405634539386</v>
      </c>
      <c r="BQ35" s="87">
        <f t="shared" si="66"/>
        <v>0</v>
      </c>
      <c r="BR35" s="111">
        <f t="shared" si="67"/>
        <v>1.0681999999999999E-2</v>
      </c>
      <c r="BS35" s="92">
        <f t="shared" si="68"/>
        <v>3.7579836975895613E-2</v>
      </c>
      <c r="BT35" s="87">
        <f t="shared" si="69"/>
        <v>37579.836975895611</v>
      </c>
      <c r="BU35" s="91">
        <f t="shared" si="70"/>
        <v>36.722887116617443</v>
      </c>
      <c r="BV35" s="93">
        <f t="shared" si="71"/>
        <v>126.68364279630835</v>
      </c>
      <c r="BW35" s="93">
        <f t="shared" si="72"/>
        <v>380.050928388925</v>
      </c>
      <c r="BX35" s="91">
        <f t="shared" si="73"/>
        <v>5.0892748776088839</v>
      </c>
      <c r="BY35" s="91">
        <f t="shared" si="74"/>
        <v>9.7744896125909073E-2</v>
      </c>
      <c r="BZ35" s="91">
        <f t="shared" si="75"/>
        <v>0</v>
      </c>
      <c r="CA35" s="91">
        <f>Table2[[#This Row],[sed_del_kg_gullied]]-Table2[[#This Row],[sed_del_kg_no_gully]]</f>
        <v>0</v>
      </c>
      <c r="CB35" s="91">
        <f t="shared" si="76"/>
        <v>42.646737968687503</v>
      </c>
      <c r="CC35" s="91">
        <f t="shared" si="77"/>
        <v>12.190321906062501</v>
      </c>
      <c r="CD35" s="91">
        <f>IF(Gullying!$BM35=1,Gullying!$CC35,Gullying!$CB35)</f>
        <v>42.646737968687503</v>
      </c>
    </row>
    <row r="36" spans="1:82" x14ac:dyDescent="0.4">
      <c r="A36" s="21">
        <v>104</v>
      </c>
      <c r="B36" s="21" t="s">
        <v>94</v>
      </c>
      <c r="C36" s="21">
        <v>58.627426</v>
      </c>
      <c r="D36" s="21">
        <v>620281.69999999995</v>
      </c>
      <c r="E36" s="21">
        <v>6082270.7000000002</v>
      </c>
      <c r="F36" s="21">
        <v>800.9</v>
      </c>
      <c r="G36" s="21">
        <v>8</v>
      </c>
      <c r="H36" s="21">
        <v>0</v>
      </c>
      <c r="I36" s="21">
        <v>22.14</v>
      </c>
      <c r="J36" s="21">
        <v>0</v>
      </c>
      <c r="K36" s="21">
        <v>100</v>
      </c>
      <c r="L36" s="21">
        <v>3.8</v>
      </c>
      <c r="M36" s="21">
        <v>100</v>
      </c>
      <c r="N36" s="21">
        <v>1</v>
      </c>
      <c r="O36" s="35">
        <v>7</v>
      </c>
      <c r="P36" s="21">
        <v>90</v>
      </c>
      <c r="Q36" s="4">
        <v>781.16</v>
      </c>
      <c r="R36" s="4">
        <v>30.899999619999999</v>
      </c>
      <c r="S36" s="107">
        <f t="shared" si="18"/>
        <v>84.132000000000005</v>
      </c>
      <c r="T36" s="90">
        <f t="shared" si="19"/>
        <v>2.2523775068692409</v>
      </c>
      <c r="U36" s="91">
        <f t="shared" si="20"/>
        <v>431.053851056756</v>
      </c>
      <c r="V36" s="91">
        <f t="shared" si="21"/>
        <v>336722.02629149548</v>
      </c>
      <c r="W36" s="87">
        <f t="shared" si="22"/>
        <v>3367220262.9149547</v>
      </c>
      <c r="X36" s="90">
        <f t="shared" si="23"/>
        <v>3.3672202629149548</v>
      </c>
      <c r="Y36" s="87">
        <f t="shared" si="24"/>
        <v>0.5</v>
      </c>
      <c r="Z36" s="87">
        <f t="shared" si="25"/>
        <v>11.74</v>
      </c>
      <c r="AA36" s="87">
        <f t="shared" si="26"/>
        <v>0.33600000000000002</v>
      </c>
      <c r="AB36" s="90">
        <f t="shared" si="27"/>
        <v>0.80598454401492003</v>
      </c>
      <c r="AC36" s="91">
        <f t="shared" si="28"/>
        <v>0</v>
      </c>
      <c r="AD36" s="91">
        <f t="shared" si="29"/>
        <v>0</v>
      </c>
      <c r="AE36" s="91">
        <f t="shared" si="30"/>
        <v>11.993817619269642</v>
      </c>
      <c r="AF36" s="91">
        <f t="shared" si="31"/>
        <v>35.981452857808925</v>
      </c>
      <c r="AG36" s="87">
        <f t="shared" si="32"/>
        <v>0</v>
      </c>
      <c r="AH36" s="87">
        <f>1</f>
        <v>1</v>
      </c>
      <c r="AI36" s="92">
        <f t="shared" si="33"/>
        <v>7</v>
      </c>
      <c r="AJ36" s="87">
        <f t="shared" si="34"/>
        <v>84.132000000000005</v>
      </c>
      <c r="AK36" s="87">
        <f t="shared" si="35"/>
        <v>574.38563336875552</v>
      </c>
      <c r="AL36" s="87">
        <f t="shared" si="36"/>
        <v>0</v>
      </c>
      <c r="AM36" s="111">
        <f t="shared" si="37"/>
        <v>8.4132000000000009E-3</v>
      </c>
      <c r="AN36" s="92">
        <f t="shared" si="38"/>
        <v>2.8329097515956102E-2</v>
      </c>
      <c r="AO36" s="87">
        <f t="shared" si="39"/>
        <v>28329.097515956099</v>
      </c>
      <c r="AP36" s="91">
        <f t="shared" si="40"/>
        <v>35.14843767950925</v>
      </c>
      <c r="AQ36" s="93">
        <f t="shared" si="41"/>
        <v>162.93790645887248</v>
      </c>
      <c r="AR36" s="93">
        <f t="shared" si="42"/>
        <v>488.81371937661743</v>
      </c>
      <c r="AS36" s="91">
        <f t="shared" si="43"/>
        <v>2.7669588507701022</v>
      </c>
      <c r="AT36" s="91">
        <f t="shared" si="44"/>
        <v>1.7147312001744415E-2</v>
      </c>
      <c r="AU36" s="91">
        <f t="shared" si="45"/>
        <v>0</v>
      </c>
      <c r="AV36" s="91">
        <f t="shared" si="46"/>
        <v>46.633608380730358</v>
      </c>
      <c r="AW36" s="91">
        <f t="shared" si="47"/>
        <v>22.645973142191075</v>
      </c>
      <c r="AX36" s="107">
        <f t="shared" si="48"/>
        <v>84.132000000000005</v>
      </c>
      <c r="AY36" s="90">
        <f t="shared" si="49"/>
        <v>2.2523775068692409</v>
      </c>
      <c r="AZ36" s="91">
        <f t="shared" si="50"/>
        <v>431.053851056756</v>
      </c>
      <c r="BA36" s="91">
        <f t="shared" si="51"/>
        <v>336722.02629149548</v>
      </c>
      <c r="BB36" s="87">
        <f t="shared" si="52"/>
        <v>3367220262.9149547</v>
      </c>
      <c r="BC36" s="90">
        <f t="shared" si="53"/>
        <v>3.3672202629149548</v>
      </c>
      <c r="BD36" s="87">
        <f t="shared" si="54"/>
        <v>0.5</v>
      </c>
      <c r="BE36" s="87">
        <f t="shared" si="55"/>
        <v>11.74</v>
      </c>
      <c r="BF36" s="87">
        <f t="shared" si="56"/>
        <v>0.33600000000000002</v>
      </c>
      <c r="BG36" s="90">
        <f t="shared" si="57"/>
        <v>0.80598454401492003</v>
      </c>
      <c r="BH36" s="91">
        <f t="shared" si="58"/>
        <v>0</v>
      </c>
      <c r="BI36" s="91">
        <f t="shared" si="59"/>
        <v>0</v>
      </c>
      <c r="BJ36" s="91">
        <f t="shared" si="60"/>
        <v>11.993817619269642</v>
      </c>
      <c r="BK36" s="91">
        <f t="shared" si="61"/>
        <v>35.981452857808925</v>
      </c>
      <c r="BL36" s="87">
        <f t="shared" si="62"/>
        <v>0</v>
      </c>
      <c r="BM36" s="87">
        <f>0</f>
        <v>0</v>
      </c>
      <c r="BN36" s="92">
        <f t="shared" si="63"/>
        <v>7</v>
      </c>
      <c r="BO36" s="87">
        <f t="shared" si="64"/>
        <v>84.132000000000005</v>
      </c>
      <c r="BP36" s="87">
        <f t="shared" si="65"/>
        <v>574.38563336875552</v>
      </c>
      <c r="BQ36" s="87">
        <f t="shared" si="66"/>
        <v>0</v>
      </c>
      <c r="BR36" s="111">
        <f t="shared" si="67"/>
        <v>8.4132000000000009E-3</v>
      </c>
      <c r="BS36" s="92">
        <f t="shared" si="68"/>
        <v>2.8329097515956102E-2</v>
      </c>
      <c r="BT36" s="87">
        <f t="shared" si="69"/>
        <v>28329.097515956099</v>
      </c>
      <c r="BU36" s="91">
        <f t="shared" si="70"/>
        <v>35.14843767950925</v>
      </c>
      <c r="BV36" s="93">
        <f t="shared" si="71"/>
        <v>162.93790645887248</v>
      </c>
      <c r="BW36" s="93">
        <f t="shared" si="72"/>
        <v>488.81371937661743</v>
      </c>
      <c r="BX36" s="91">
        <f t="shared" si="73"/>
        <v>2.7669588507701022</v>
      </c>
      <c r="BY36" s="91">
        <f t="shared" si="74"/>
        <v>1.7147312001744415E-2</v>
      </c>
      <c r="BZ36" s="91">
        <f t="shared" si="75"/>
        <v>0</v>
      </c>
      <c r="CA36" s="91">
        <f>Table2[[#This Row],[sed_del_kg_gullied]]-Table2[[#This Row],[sed_del_kg_no_gully]]</f>
        <v>0</v>
      </c>
      <c r="CB36" s="91">
        <f t="shared" si="76"/>
        <v>46.633608380730358</v>
      </c>
      <c r="CC36" s="91">
        <f t="shared" si="77"/>
        <v>22.645973142191075</v>
      </c>
      <c r="CD36" s="91">
        <f>IF(Gullying!$BM36=1,Gullying!$CC36,Gullying!$CB36)</f>
        <v>46.633608380730358</v>
      </c>
    </row>
    <row r="37" spans="1:82" x14ac:dyDescent="0.4">
      <c r="A37" s="21">
        <v>84</v>
      </c>
      <c r="B37" s="21" t="s">
        <v>94</v>
      </c>
      <c r="C37" s="21">
        <v>38.736944999999999</v>
      </c>
      <c r="D37" s="21">
        <v>619946.19999999995</v>
      </c>
      <c r="E37" s="21">
        <v>6081814.2999999998</v>
      </c>
      <c r="F37" s="21">
        <v>802.8</v>
      </c>
      <c r="G37" s="21">
        <v>14</v>
      </c>
      <c r="H37" s="21">
        <v>0</v>
      </c>
      <c r="I37" s="21">
        <v>17.850000000000001</v>
      </c>
      <c r="J37" s="21">
        <v>0</v>
      </c>
      <c r="K37" s="21">
        <v>100</v>
      </c>
      <c r="L37" s="21">
        <v>3.8</v>
      </c>
      <c r="M37" s="21">
        <v>100</v>
      </c>
      <c r="N37" s="21">
        <v>0</v>
      </c>
      <c r="O37" s="35">
        <v>14</v>
      </c>
      <c r="P37" s="21">
        <v>90</v>
      </c>
      <c r="Q37" s="4">
        <v>781.16</v>
      </c>
      <c r="R37" s="4">
        <v>30.899999619999999</v>
      </c>
      <c r="S37" s="107">
        <f t="shared" si="18"/>
        <v>67.83</v>
      </c>
      <c r="T37" s="90">
        <f t="shared" si="19"/>
        <v>2.9294544238463396</v>
      </c>
      <c r="U37" s="91">
        <f t="shared" si="20"/>
        <v>488.39549515554648</v>
      </c>
      <c r="V37" s="91">
        <f t="shared" si="21"/>
        <v>381515.02499570668</v>
      </c>
      <c r="W37" s="87">
        <f t="shared" si="22"/>
        <v>3815150249.957067</v>
      </c>
      <c r="X37" s="90">
        <f t="shared" si="23"/>
        <v>3.8151502499570671</v>
      </c>
      <c r="Y37" s="87">
        <f t="shared" si="24"/>
        <v>0.5</v>
      </c>
      <c r="Z37" s="87">
        <f t="shared" si="25"/>
        <v>11.74</v>
      </c>
      <c r="AA37" s="87">
        <f t="shared" si="26"/>
        <v>0.33600000000000002</v>
      </c>
      <c r="AB37" s="90">
        <f t="shared" si="27"/>
        <v>0.64981138711230002</v>
      </c>
      <c r="AC37" s="91">
        <f t="shared" si="28"/>
        <v>0</v>
      </c>
      <c r="AD37" s="91">
        <f t="shared" si="29"/>
        <v>0</v>
      </c>
      <c r="AE37" s="91">
        <f t="shared" si="30"/>
        <v>9.6698123082187504</v>
      </c>
      <c r="AF37" s="91">
        <f t="shared" si="31"/>
        <v>29.009436924656249</v>
      </c>
      <c r="AG37" s="87">
        <f t="shared" si="32"/>
        <v>0</v>
      </c>
      <c r="AH37" s="87">
        <f>1</f>
        <v>1</v>
      </c>
      <c r="AI37" s="92">
        <f t="shared" si="33"/>
        <v>14</v>
      </c>
      <c r="AJ37" s="87">
        <f t="shared" si="34"/>
        <v>67.83</v>
      </c>
      <c r="AK37" s="87">
        <f t="shared" si="35"/>
        <v>289.34958461071244</v>
      </c>
      <c r="AL37" s="87">
        <f t="shared" si="36"/>
        <v>0</v>
      </c>
      <c r="AM37" s="111">
        <f t="shared" si="37"/>
        <v>6.783E-3</v>
      </c>
      <c r="AN37" s="92">
        <f t="shared" si="38"/>
        <v>2.5878164145458786E-2</v>
      </c>
      <c r="AO37" s="87">
        <f t="shared" si="39"/>
        <v>25878.164145458788</v>
      </c>
      <c r="AP37" s="91">
        <f t="shared" si="40"/>
        <v>39.824116133850602</v>
      </c>
      <c r="AQ37" s="93">
        <f t="shared" si="41"/>
        <v>133.53221953465757</v>
      </c>
      <c r="AR37" s="93">
        <f t="shared" si="42"/>
        <v>400.59665860397268</v>
      </c>
      <c r="AS37" s="91">
        <f t="shared" si="43"/>
        <v>4.9598229129131903</v>
      </c>
      <c r="AT37" s="91">
        <f t="shared" si="44"/>
        <v>7.6931857811752741E-2</v>
      </c>
      <c r="AU37" s="91">
        <f t="shared" si="45"/>
        <v>0</v>
      </c>
      <c r="AV37" s="91">
        <f t="shared" si="46"/>
        <v>29.067132691781246</v>
      </c>
      <c r="AW37" s="91">
        <f t="shared" si="47"/>
        <v>9.7275080753437493</v>
      </c>
      <c r="AX37" s="107">
        <f t="shared" si="48"/>
        <v>67.83</v>
      </c>
      <c r="AY37" s="90">
        <f t="shared" si="49"/>
        <v>2.9294544238463396</v>
      </c>
      <c r="AZ37" s="91">
        <f t="shared" si="50"/>
        <v>488.39549515554648</v>
      </c>
      <c r="BA37" s="91">
        <f t="shared" si="51"/>
        <v>381515.02499570668</v>
      </c>
      <c r="BB37" s="87">
        <f t="shared" si="52"/>
        <v>3815150249.957067</v>
      </c>
      <c r="BC37" s="90">
        <f t="shared" si="53"/>
        <v>3.8151502499570671</v>
      </c>
      <c r="BD37" s="87">
        <f t="shared" si="54"/>
        <v>0.5</v>
      </c>
      <c r="BE37" s="87">
        <f t="shared" si="55"/>
        <v>11.74</v>
      </c>
      <c r="BF37" s="87">
        <f t="shared" si="56"/>
        <v>0.33600000000000002</v>
      </c>
      <c r="BG37" s="90">
        <f t="shared" si="57"/>
        <v>0.64981138711230002</v>
      </c>
      <c r="BH37" s="91">
        <f t="shared" si="58"/>
        <v>0</v>
      </c>
      <c r="BI37" s="91">
        <f t="shared" si="59"/>
        <v>0</v>
      </c>
      <c r="BJ37" s="91">
        <f t="shared" si="60"/>
        <v>9.6698123082187504</v>
      </c>
      <c r="BK37" s="91">
        <f t="shared" si="61"/>
        <v>29.009436924656249</v>
      </c>
      <c r="BL37" s="87">
        <f t="shared" si="62"/>
        <v>0</v>
      </c>
      <c r="BM37" s="87">
        <f>0</f>
        <v>0</v>
      </c>
      <c r="BN37" s="92">
        <f t="shared" si="63"/>
        <v>14</v>
      </c>
      <c r="BO37" s="87">
        <f t="shared" si="64"/>
        <v>67.83</v>
      </c>
      <c r="BP37" s="87">
        <f t="shared" si="65"/>
        <v>289.34958461071244</v>
      </c>
      <c r="BQ37" s="87">
        <f t="shared" si="66"/>
        <v>0</v>
      </c>
      <c r="BR37" s="111">
        <f t="shared" si="67"/>
        <v>6.783E-3</v>
      </c>
      <c r="BS37" s="92">
        <f t="shared" si="68"/>
        <v>2.5878164145458786E-2</v>
      </c>
      <c r="BT37" s="87">
        <f t="shared" si="69"/>
        <v>25878.164145458788</v>
      </c>
      <c r="BU37" s="91">
        <f t="shared" si="70"/>
        <v>39.824116133850602</v>
      </c>
      <c r="BV37" s="93">
        <f t="shared" si="71"/>
        <v>133.53221953465757</v>
      </c>
      <c r="BW37" s="93">
        <f t="shared" si="72"/>
        <v>400.59665860397268</v>
      </c>
      <c r="BX37" s="91">
        <f t="shared" si="73"/>
        <v>4.9598229129131903</v>
      </c>
      <c r="BY37" s="91">
        <f t="shared" si="74"/>
        <v>7.6931857811752741E-2</v>
      </c>
      <c r="BZ37" s="91">
        <f t="shared" si="75"/>
        <v>0</v>
      </c>
      <c r="CA37" s="91">
        <f>Table2[[#This Row],[sed_del_kg_gullied]]-Table2[[#This Row],[sed_del_kg_no_gully]]</f>
        <v>0</v>
      </c>
      <c r="CB37" s="91">
        <f t="shared" si="76"/>
        <v>29.067132691781246</v>
      </c>
      <c r="CC37" s="91">
        <f t="shared" si="77"/>
        <v>9.7275080753437493</v>
      </c>
      <c r="CD37" s="91">
        <f>IF(Gullying!$BM37=1,Gullying!$CC37,Gullying!$CB37)</f>
        <v>29.067132691781246</v>
      </c>
    </row>
    <row r="38" spans="1:82" x14ac:dyDescent="0.4">
      <c r="A38" s="21">
        <v>79</v>
      </c>
      <c r="B38" s="21" t="s">
        <v>94</v>
      </c>
      <c r="C38" s="21">
        <v>81.495073000000005</v>
      </c>
      <c r="D38" s="21">
        <v>619854.4</v>
      </c>
      <c r="E38" s="21">
        <v>6081700.2999999998</v>
      </c>
      <c r="F38" s="21">
        <v>803.6</v>
      </c>
      <c r="G38" s="21">
        <v>23</v>
      </c>
      <c r="H38" s="21">
        <v>0</v>
      </c>
      <c r="I38" s="21">
        <v>7.34</v>
      </c>
      <c r="J38" s="21">
        <v>0</v>
      </c>
      <c r="K38" s="21">
        <v>100</v>
      </c>
      <c r="L38" s="21">
        <v>4.5999999999999996</v>
      </c>
      <c r="M38" s="21">
        <v>100</v>
      </c>
      <c r="N38" s="21">
        <v>0</v>
      </c>
      <c r="O38" s="35">
        <v>30</v>
      </c>
      <c r="P38" s="21">
        <v>90</v>
      </c>
      <c r="Q38" s="4">
        <v>781.16</v>
      </c>
      <c r="R38" s="4">
        <v>30.899999619999999</v>
      </c>
      <c r="S38" s="107">
        <f t="shared" si="18"/>
        <v>33.763999999999996</v>
      </c>
      <c r="T38" s="90">
        <f t="shared" si="19"/>
        <v>3.787561691319218</v>
      </c>
      <c r="U38" s="91">
        <f t="shared" si="20"/>
        <v>561.0685996378246</v>
      </c>
      <c r="V38" s="91">
        <f t="shared" si="21"/>
        <v>438284.34729308303</v>
      </c>
      <c r="W38" s="87">
        <f t="shared" si="22"/>
        <v>4382843472.93083</v>
      </c>
      <c r="X38" s="90">
        <f t="shared" si="23"/>
        <v>4.3828434729308299</v>
      </c>
      <c r="Y38" s="87">
        <f t="shared" si="24"/>
        <v>0.5</v>
      </c>
      <c r="Z38" s="87">
        <f t="shared" si="25"/>
        <v>11.74</v>
      </c>
      <c r="AA38" s="87">
        <f t="shared" si="26"/>
        <v>0.33600000000000002</v>
      </c>
      <c r="AB38" s="90">
        <f t="shared" si="27"/>
        <v>0.32345911358483997</v>
      </c>
      <c r="AC38" s="91">
        <f t="shared" si="28"/>
        <v>0</v>
      </c>
      <c r="AD38" s="91">
        <f t="shared" si="29"/>
        <v>0</v>
      </c>
      <c r="AE38" s="91">
        <f t="shared" si="30"/>
        <v>4.8133796664410706</v>
      </c>
      <c r="AF38" s="91">
        <f t="shared" si="31"/>
        <v>14.440138999323212</v>
      </c>
      <c r="AG38" s="87">
        <f t="shared" si="32"/>
        <v>0</v>
      </c>
      <c r="AH38" s="87">
        <f>1</f>
        <v>1</v>
      </c>
      <c r="AI38" s="92">
        <f t="shared" si="33"/>
        <v>30</v>
      </c>
      <c r="AJ38" s="87">
        <f t="shared" si="34"/>
        <v>33.763999999999996</v>
      </c>
      <c r="AK38" s="87">
        <f t="shared" si="35"/>
        <v>140.00000000000003</v>
      </c>
      <c r="AL38" s="87">
        <f t="shared" si="36"/>
        <v>0</v>
      </c>
      <c r="AM38" s="111">
        <f t="shared" si="37"/>
        <v>3.3763999999999995E-3</v>
      </c>
      <c r="AN38" s="92">
        <f t="shared" si="38"/>
        <v>1.4798232702003651E-2</v>
      </c>
      <c r="AO38" s="87">
        <f t="shared" si="39"/>
        <v>14798.23270200365</v>
      </c>
      <c r="AP38" s="91">
        <f t="shared" si="40"/>
        <v>45.749932775111702</v>
      </c>
      <c r="AQ38" s="93">
        <f t="shared" si="41"/>
        <v>564.36487906258765</v>
      </c>
      <c r="AR38" s="93">
        <f t="shared" si="42"/>
        <v>1693.0946371877631</v>
      </c>
      <c r="AS38" s="91">
        <f t="shared" si="43"/>
        <v>6.867866383635372E-3</v>
      </c>
      <c r="AT38" s="91">
        <f t="shared" si="44"/>
        <v>1.5476921906331253E-10</v>
      </c>
      <c r="AU38" s="91">
        <f t="shared" si="45"/>
        <v>0</v>
      </c>
      <c r="AV38" s="91">
        <f t="shared" si="46"/>
        <v>76.68169333355894</v>
      </c>
      <c r="AW38" s="91">
        <f t="shared" si="47"/>
        <v>67.054934000676795</v>
      </c>
      <c r="AX38" s="107">
        <f t="shared" si="48"/>
        <v>33.763999999999996</v>
      </c>
      <c r="AY38" s="90">
        <f t="shared" si="49"/>
        <v>3.787561691319218</v>
      </c>
      <c r="AZ38" s="91">
        <f t="shared" si="50"/>
        <v>561.0685996378246</v>
      </c>
      <c r="BA38" s="91">
        <f t="shared" si="51"/>
        <v>438284.34729308303</v>
      </c>
      <c r="BB38" s="87">
        <f t="shared" si="52"/>
        <v>4382843472.93083</v>
      </c>
      <c r="BC38" s="90">
        <f t="shared" si="53"/>
        <v>4.3828434729308299</v>
      </c>
      <c r="BD38" s="87">
        <f t="shared" si="54"/>
        <v>0.5</v>
      </c>
      <c r="BE38" s="87">
        <f t="shared" si="55"/>
        <v>11.74</v>
      </c>
      <c r="BF38" s="87">
        <f t="shared" si="56"/>
        <v>0.33600000000000002</v>
      </c>
      <c r="BG38" s="90">
        <f t="shared" si="57"/>
        <v>0.32345911358483997</v>
      </c>
      <c r="BH38" s="91">
        <f t="shared" si="58"/>
        <v>0</v>
      </c>
      <c r="BI38" s="91">
        <f t="shared" si="59"/>
        <v>0</v>
      </c>
      <c r="BJ38" s="91">
        <f t="shared" si="60"/>
        <v>4.8133796664410706</v>
      </c>
      <c r="BK38" s="91">
        <f t="shared" si="61"/>
        <v>14.440138999323212</v>
      </c>
      <c r="BL38" s="87">
        <f t="shared" si="62"/>
        <v>0</v>
      </c>
      <c r="BM38" s="87">
        <f>0</f>
        <v>0</v>
      </c>
      <c r="BN38" s="92">
        <f t="shared" si="63"/>
        <v>30</v>
      </c>
      <c r="BO38" s="87">
        <f t="shared" si="64"/>
        <v>33.763999999999996</v>
      </c>
      <c r="BP38" s="87">
        <f t="shared" si="65"/>
        <v>140.00000000000003</v>
      </c>
      <c r="BQ38" s="87">
        <f t="shared" si="66"/>
        <v>0</v>
      </c>
      <c r="BR38" s="111">
        <f t="shared" si="67"/>
        <v>3.3763999999999995E-3</v>
      </c>
      <c r="BS38" s="92">
        <f t="shared" si="68"/>
        <v>1.4798232702003651E-2</v>
      </c>
      <c r="BT38" s="87">
        <f t="shared" si="69"/>
        <v>14798.23270200365</v>
      </c>
      <c r="BU38" s="91">
        <f t="shared" si="70"/>
        <v>45.749932775111702</v>
      </c>
      <c r="BV38" s="93">
        <f t="shared" si="71"/>
        <v>564.36487906258765</v>
      </c>
      <c r="BW38" s="93">
        <f t="shared" si="72"/>
        <v>1693.0946371877631</v>
      </c>
      <c r="BX38" s="91">
        <f t="shared" si="73"/>
        <v>6.867866383635372E-3</v>
      </c>
      <c r="BY38" s="91">
        <f t="shared" si="74"/>
        <v>1.5476921906331253E-10</v>
      </c>
      <c r="BZ38" s="91">
        <f t="shared" si="75"/>
        <v>0</v>
      </c>
      <c r="CA38" s="91">
        <f>Table2[[#This Row],[sed_del_kg_gullied]]-Table2[[#This Row],[sed_del_kg_no_gully]]</f>
        <v>0</v>
      </c>
      <c r="CB38" s="91">
        <f t="shared" si="76"/>
        <v>76.68169333355894</v>
      </c>
      <c r="CC38" s="91">
        <f t="shared" si="77"/>
        <v>67.054934000676795</v>
      </c>
      <c r="CD38" s="91">
        <f>IF(Gullying!$BM38=1,Gullying!$CC38,Gullying!$CB38)</f>
        <v>76.68169333355894</v>
      </c>
    </row>
    <row r="39" spans="1:82" x14ac:dyDescent="0.4">
      <c r="A39" s="21">
        <v>88</v>
      </c>
      <c r="B39" s="21" t="s">
        <v>94</v>
      </c>
      <c r="C39" s="21">
        <v>10.406696999999999</v>
      </c>
      <c r="D39" s="21">
        <v>619994.5</v>
      </c>
      <c r="E39" s="21">
        <v>6081893.7000000002</v>
      </c>
      <c r="F39" s="21">
        <v>803.8</v>
      </c>
      <c r="G39" s="21">
        <v>6</v>
      </c>
      <c r="H39" s="21">
        <v>0</v>
      </c>
      <c r="I39" s="21">
        <v>44.47</v>
      </c>
      <c r="J39" s="21">
        <v>0</v>
      </c>
      <c r="K39" s="21">
        <v>100</v>
      </c>
      <c r="L39" s="21">
        <v>3.8</v>
      </c>
      <c r="M39" s="21">
        <v>100</v>
      </c>
      <c r="N39" s="21">
        <v>1</v>
      </c>
      <c r="O39" s="35">
        <v>5</v>
      </c>
      <c r="P39" s="21">
        <v>90</v>
      </c>
      <c r="Q39" s="4">
        <v>781.16</v>
      </c>
      <c r="R39" s="4">
        <v>30.899999619999999</v>
      </c>
      <c r="S39" s="107">
        <f t="shared" si="18"/>
        <v>168.98599999999999</v>
      </c>
      <c r="T39" s="90">
        <f t="shared" si="19"/>
        <v>2.0274507831327977</v>
      </c>
      <c r="U39" s="91">
        <f t="shared" si="20"/>
        <v>412.00480682351662</v>
      </c>
      <c r="V39" s="91">
        <f t="shared" si="21"/>
        <v>321841.67489825824</v>
      </c>
      <c r="W39" s="87">
        <f t="shared" si="22"/>
        <v>3218416748.9825826</v>
      </c>
      <c r="X39" s="90">
        <f t="shared" si="23"/>
        <v>3.2184167489825826</v>
      </c>
      <c r="Y39" s="87">
        <f t="shared" si="24"/>
        <v>0.5</v>
      </c>
      <c r="Z39" s="87">
        <f t="shared" si="25"/>
        <v>11.74</v>
      </c>
      <c r="AA39" s="87">
        <f t="shared" si="26"/>
        <v>0.33600000000000002</v>
      </c>
      <c r="AB39" s="90">
        <f t="shared" si="27"/>
        <v>1.61888584789266</v>
      </c>
      <c r="AC39" s="91">
        <f t="shared" si="28"/>
        <v>0.91955580949265991</v>
      </c>
      <c r="AD39" s="91">
        <f t="shared" si="29"/>
        <v>1.3857758350926601</v>
      </c>
      <c r="AE39" s="91">
        <f t="shared" si="30"/>
        <v>24.090563212688394</v>
      </c>
      <c r="AF39" s="91">
        <f t="shared" si="31"/>
        <v>72.271689638065183</v>
      </c>
      <c r="AG39" s="87">
        <f t="shared" si="32"/>
        <v>0</v>
      </c>
      <c r="AH39" s="87">
        <f>1</f>
        <v>1</v>
      </c>
      <c r="AI39" s="92">
        <f t="shared" si="33"/>
        <v>5</v>
      </c>
      <c r="AJ39" s="87">
        <f t="shared" si="34"/>
        <v>168.98599999999999</v>
      </c>
      <c r="AK39" s="87">
        <f t="shared" si="35"/>
        <v>803.15992719688995</v>
      </c>
      <c r="AL39" s="87">
        <f t="shared" si="36"/>
        <v>1.3857758350926601</v>
      </c>
      <c r="AM39" s="111">
        <f t="shared" si="37"/>
        <v>1.68986E-2</v>
      </c>
      <c r="AN39" s="92">
        <f t="shared" si="38"/>
        <v>5.4386737274357069E-2</v>
      </c>
      <c r="AO39" s="87">
        <f t="shared" si="39"/>
        <v>54386.737274357067</v>
      </c>
      <c r="AP39" s="91">
        <f t="shared" si="40"/>
        <v>33.595165060682632</v>
      </c>
      <c r="AQ39" s="93">
        <f t="shared" si="41"/>
        <v>14.399410131569468</v>
      </c>
      <c r="AR39" s="93">
        <f t="shared" si="42"/>
        <v>43.198230394708403</v>
      </c>
      <c r="AS39" s="91">
        <f t="shared" si="43"/>
        <v>26.836190317786151</v>
      </c>
      <c r="AT39" s="91">
        <f t="shared" si="44"/>
        <v>17.124150300941764</v>
      </c>
      <c r="AU39" s="91">
        <f t="shared" si="45"/>
        <v>37.188944048335664</v>
      </c>
      <c r="AV39" s="91">
        <f t="shared" si="46"/>
        <v>0</v>
      </c>
      <c r="AW39" s="91">
        <f t="shared" si="47"/>
        <v>0</v>
      </c>
      <c r="AX39" s="107">
        <f t="shared" si="48"/>
        <v>168.98599999999999</v>
      </c>
      <c r="AY39" s="90">
        <f t="shared" si="49"/>
        <v>2.0274507831327977</v>
      </c>
      <c r="AZ39" s="91">
        <f t="shared" si="50"/>
        <v>412.00480682351662</v>
      </c>
      <c r="BA39" s="91">
        <f t="shared" si="51"/>
        <v>321841.67489825824</v>
      </c>
      <c r="BB39" s="87">
        <f t="shared" si="52"/>
        <v>3218416748.9825826</v>
      </c>
      <c r="BC39" s="90">
        <f t="shared" si="53"/>
        <v>3.2184167489825826</v>
      </c>
      <c r="BD39" s="87">
        <f t="shared" si="54"/>
        <v>0.5</v>
      </c>
      <c r="BE39" s="87">
        <f t="shared" si="55"/>
        <v>11.74</v>
      </c>
      <c r="BF39" s="87">
        <f t="shared" si="56"/>
        <v>0.33600000000000002</v>
      </c>
      <c r="BG39" s="90">
        <f t="shared" si="57"/>
        <v>1.61888584789266</v>
      </c>
      <c r="BH39" s="91">
        <f t="shared" si="58"/>
        <v>0.91955580949265991</v>
      </c>
      <c r="BI39" s="91">
        <f t="shared" si="59"/>
        <v>1.3857758350926601</v>
      </c>
      <c r="BJ39" s="91">
        <f t="shared" si="60"/>
        <v>24.090563212688394</v>
      </c>
      <c r="BK39" s="91">
        <f t="shared" si="61"/>
        <v>72.271689638065183</v>
      </c>
      <c r="BL39" s="87">
        <f t="shared" si="62"/>
        <v>0</v>
      </c>
      <c r="BM39" s="87">
        <f>0</f>
        <v>0</v>
      </c>
      <c r="BN39" s="92">
        <f t="shared" si="63"/>
        <v>5</v>
      </c>
      <c r="BO39" s="87">
        <f t="shared" si="64"/>
        <v>168.98599999999999</v>
      </c>
      <c r="BP39" s="87">
        <f t="shared" si="65"/>
        <v>803.15992719688995</v>
      </c>
      <c r="BQ39" s="87">
        <f t="shared" si="66"/>
        <v>0.91955580949265991</v>
      </c>
      <c r="BR39" s="111">
        <f t="shared" si="67"/>
        <v>1.68986E-2</v>
      </c>
      <c r="BS39" s="92">
        <f t="shared" si="68"/>
        <v>5.4386737274357069E-2</v>
      </c>
      <c r="BT39" s="87">
        <f t="shared" si="69"/>
        <v>54386.737274357067</v>
      </c>
      <c r="BU39" s="91">
        <f t="shared" si="70"/>
        <v>33.595165060682632</v>
      </c>
      <c r="BV39" s="93">
        <f t="shared" si="71"/>
        <v>14.399410131569468</v>
      </c>
      <c r="BW39" s="93">
        <f t="shared" si="72"/>
        <v>43.198230394708403</v>
      </c>
      <c r="BX39" s="91">
        <f t="shared" si="73"/>
        <v>26.836190317786151</v>
      </c>
      <c r="BY39" s="91">
        <f t="shared" si="74"/>
        <v>17.124150300941764</v>
      </c>
      <c r="BZ39" s="91">
        <f t="shared" si="75"/>
        <v>15.74661189185648</v>
      </c>
      <c r="CA39" s="91">
        <f>Table2[[#This Row],[sed_del_kg_gullied]]-Table2[[#This Row],[sed_del_kg_no_gully]]</f>
        <v>21.442332156479182</v>
      </c>
      <c r="CB39" s="91">
        <f t="shared" si="76"/>
        <v>0</v>
      </c>
      <c r="CC39" s="91">
        <f t="shared" si="77"/>
        <v>0</v>
      </c>
      <c r="CD39" s="91">
        <f>IF(Gullying!$BM39=1,Gullying!$CC39,Gullying!$CB39)</f>
        <v>0</v>
      </c>
    </row>
    <row r="40" spans="1:82" x14ac:dyDescent="0.4">
      <c r="A40" s="21">
        <v>103</v>
      </c>
      <c r="B40" s="21" t="s">
        <v>94</v>
      </c>
      <c r="C40" s="21">
        <v>77.504437999999993</v>
      </c>
      <c r="D40" s="21">
        <v>620275</v>
      </c>
      <c r="E40" s="21">
        <v>6082249.5999999996</v>
      </c>
      <c r="F40" s="21">
        <v>804.2</v>
      </c>
      <c r="G40" s="21">
        <v>14</v>
      </c>
      <c r="H40" s="21">
        <v>0</v>
      </c>
      <c r="I40" s="21">
        <v>22.57</v>
      </c>
      <c r="J40" s="21">
        <v>0</v>
      </c>
      <c r="K40" s="21">
        <v>100</v>
      </c>
      <c r="L40" s="21">
        <v>4.4000000000000004</v>
      </c>
      <c r="M40" s="21">
        <v>100</v>
      </c>
      <c r="N40" s="21">
        <v>1</v>
      </c>
      <c r="O40" s="35">
        <v>7</v>
      </c>
      <c r="P40" s="21">
        <v>90</v>
      </c>
      <c r="Q40" s="4">
        <v>781.16</v>
      </c>
      <c r="R40" s="4">
        <v>30.899999619999999</v>
      </c>
      <c r="S40" s="107">
        <f t="shared" si="18"/>
        <v>99.308000000000007</v>
      </c>
      <c r="T40" s="90">
        <f t="shared" si="19"/>
        <v>2.9294544238463396</v>
      </c>
      <c r="U40" s="91">
        <f t="shared" si="20"/>
        <v>488.39549515554648</v>
      </c>
      <c r="V40" s="91">
        <f t="shared" si="21"/>
        <v>381515.02499570668</v>
      </c>
      <c r="W40" s="87">
        <f t="shared" si="22"/>
        <v>3815150249.957067</v>
      </c>
      <c r="X40" s="90">
        <f t="shared" si="23"/>
        <v>3.8151502499570671</v>
      </c>
      <c r="Y40" s="87">
        <f t="shared" si="24"/>
        <v>0.5</v>
      </c>
      <c r="Z40" s="87">
        <f t="shared" si="25"/>
        <v>11.74</v>
      </c>
      <c r="AA40" s="87">
        <f t="shared" si="26"/>
        <v>0.33600000000000002</v>
      </c>
      <c r="AB40" s="90">
        <f t="shared" si="27"/>
        <v>0.95137062113148008</v>
      </c>
      <c r="AC40" s="91">
        <f t="shared" si="28"/>
        <v>0</v>
      </c>
      <c r="AD40" s="91">
        <f t="shared" si="29"/>
        <v>0</v>
      </c>
      <c r="AE40" s="91">
        <f t="shared" si="30"/>
        <v>14.157300909694644</v>
      </c>
      <c r="AF40" s="91">
        <f t="shared" si="31"/>
        <v>42.471902729083936</v>
      </c>
      <c r="AG40" s="87">
        <f t="shared" si="32"/>
        <v>0</v>
      </c>
      <c r="AH40" s="87">
        <f>1</f>
        <v>1</v>
      </c>
      <c r="AI40" s="92">
        <f t="shared" si="33"/>
        <v>7</v>
      </c>
      <c r="AJ40" s="87">
        <f t="shared" si="34"/>
        <v>99.308000000000007</v>
      </c>
      <c r="AK40" s="87">
        <f t="shared" si="35"/>
        <v>574.38563336875552</v>
      </c>
      <c r="AL40" s="87">
        <f t="shared" si="36"/>
        <v>0</v>
      </c>
      <c r="AM40" s="111">
        <f t="shared" si="37"/>
        <v>9.9308E-3</v>
      </c>
      <c r="AN40" s="92">
        <f t="shared" si="38"/>
        <v>3.7887494102273642E-2</v>
      </c>
      <c r="AO40" s="87">
        <f t="shared" si="39"/>
        <v>37887.494102273646</v>
      </c>
      <c r="AP40" s="91">
        <f t="shared" si="40"/>
        <v>39.824116133850602</v>
      </c>
      <c r="AQ40" s="93">
        <f t="shared" si="41"/>
        <v>182.48402595565011</v>
      </c>
      <c r="AR40" s="93">
        <f t="shared" si="42"/>
        <v>547.45207786695028</v>
      </c>
      <c r="AS40" s="91">
        <f t="shared" si="43"/>
        <v>2.3110959676496248</v>
      </c>
      <c r="AT40" s="91">
        <f t="shared" si="44"/>
        <v>7.7832619652366125E-3</v>
      </c>
      <c r="AU40" s="91">
        <f t="shared" si="45"/>
        <v>0</v>
      </c>
      <c r="AV40" s="91">
        <f t="shared" si="46"/>
        <v>63.347137090305353</v>
      </c>
      <c r="AW40" s="91">
        <f t="shared" si="47"/>
        <v>35.032535270916057</v>
      </c>
      <c r="AX40" s="107">
        <f t="shared" si="48"/>
        <v>99.308000000000007</v>
      </c>
      <c r="AY40" s="90">
        <f t="shared" si="49"/>
        <v>2.9294544238463396</v>
      </c>
      <c r="AZ40" s="91">
        <f t="shared" si="50"/>
        <v>488.39549515554648</v>
      </c>
      <c r="BA40" s="91">
        <f t="shared" si="51"/>
        <v>381515.02499570668</v>
      </c>
      <c r="BB40" s="87">
        <f t="shared" si="52"/>
        <v>3815150249.957067</v>
      </c>
      <c r="BC40" s="90">
        <f t="shared" si="53"/>
        <v>3.8151502499570671</v>
      </c>
      <c r="BD40" s="87">
        <f t="shared" si="54"/>
        <v>0.5</v>
      </c>
      <c r="BE40" s="87">
        <f t="shared" si="55"/>
        <v>11.74</v>
      </c>
      <c r="BF40" s="87">
        <f t="shared" si="56"/>
        <v>0.33600000000000002</v>
      </c>
      <c r="BG40" s="90">
        <f t="shared" si="57"/>
        <v>0.95137062113148008</v>
      </c>
      <c r="BH40" s="91">
        <f t="shared" si="58"/>
        <v>0</v>
      </c>
      <c r="BI40" s="91">
        <f t="shared" si="59"/>
        <v>0</v>
      </c>
      <c r="BJ40" s="91">
        <f t="shared" si="60"/>
        <v>14.157300909694644</v>
      </c>
      <c r="BK40" s="91">
        <f t="shared" si="61"/>
        <v>42.471902729083936</v>
      </c>
      <c r="BL40" s="87">
        <f t="shared" si="62"/>
        <v>0</v>
      </c>
      <c r="BM40" s="87">
        <f>0</f>
        <v>0</v>
      </c>
      <c r="BN40" s="92">
        <f t="shared" si="63"/>
        <v>7</v>
      </c>
      <c r="BO40" s="87">
        <f t="shared" si="64"/>
        <v>99.308000000000007</v>
      </c>
      <c r="BP40" s="87">
        <f t="shared" si="65"/>
        <v>574.38563336875552</v>
      </c>
      <c r="BQ40" s="87">
        <f t="shared" si="66"/>
        <v>0</v>
      </c>
      <c r="BR40" s="111">
        <f t="shared" si="67"/>
        <v>9.9308E-3</v>
      </c>
      <c r="BS40" s="92">
        <f t="shared" si="68"/>
        <v>3.7887494102273642E-2</v>
      </c>
      <c r="BT40" s="87">
        <f t="shared" si="69"/>
        <v>37887.494102273646</v>
      </c>
      <c r="BU40" s="91">
        <f t="shared" si="70"/>
        <v>39.824116133850602</v>
      </c>
      <c r="BV40" s="93">
        <f t="shared" si="71"/>
        <v>182.48402595565011</v>
      </c>
      <c r="BW40" s="93">
        <f t="shared" si="72"/>
        <v>547.45207786695028</v>
      </c>
      <c r="BX40" s="91">
        <f t="shared" si="73"/>
        <v>2.3110959676496248</v>
      </c>
      <c r="BY40" s="91">
        <f t="shared" si="74"/>
        <v>7.7832619652366125E-3</v>
      </c>
      <c r="BZ40" s="91">
        <f t="shared" si="75"/>
        <v>0</v>
      </c>
      <c r="CA40" s="91">
        <f>Table2[[#This Row],[sed_del_kg_gullied]]-Table2[[#This Row],[sed_del_kg_no_gully]]</f>
        <v>0</v>
      </c>
      <c r="CB40" s="91">
        <f t="shared" si="76"/>
        <v>63.347137090305353</v>
      </c>
      <c r="CC40" s="91">
        <f t="shared" si="77"/>
        <v>35.032535270916057</v>
      </c>
      <c r="CD40" s="91">
        <f>IF(Gullying!$BM40=1,Gullying!$CC40,Gullying!$CB40)</f>
        <v>63.347137090305353</v>
      </c>
    </row>
    <row r="41" spans="1:82" x14ac:dyDescent="0.4">
      <c r="A41" s="21">
        <v>80</v>
      </c>
      <c r="B41" s="21" t="s">
        <v>94</v>
      </c>
      <c r="C41" s="21">
        <v>106.590699</v>
      </c>
      <c r="D41" s="21">
        <v>619857.4</v>
      </c>
      <c r="E41" s="21">
        <v>6081707</v>
      </c>
      <c r="F41" s="21">
        <v>806.2</v>
      </c>
      <c r="G41" s="21">
        <v>16</v>
      </c>
      <c r="H41" s="21">
        <v>0</v>
      </c>
      <c r="I41" s="21">
        <v>38.5</v>
      </c>
      <c r="J41" s="21">
        <v>0</v>
      </c>
      <c r="K41" s="21">
        <v>100</v>
      </c>
      <c r="L41" s="21">
        <v>3.8</v>
      </c>
      <c r="M41" s="21">
        <v>100</v>
      </c>
      <c r="N41" s="21">
        <v>1</v>
      </c>
      <c r="O41" s="35">
        <v>11</v>
      </c>
      <c r="P41" s="21">
        <v>90</v>
      </c>
      <c r="Q41" s="4">
        <v>781.16</v>
      </c>
      <c r="R41" s="4">
        <v>30.899999619999999</v>
      </c>
      <c r="S41" s="107">
        <f t="shared" si="18"/>
        <v>146.29999999999998</v>
      </c>
      <c r="T41" s="90">
        <f t="shared" si="19"/>
        <v>3.1430387596364455</v>
      </c>
      <c r="U41" s="91">
        <f t="shared" si="20"/>
        <v>506.48395255361049</v>
      </c>
      <c r="V41" s="91">
        <f t="shared" si="21"/>
        <v>395645.00437677838</v>
      </c>
      <c r="W41" s="87">
        <f t="shared" si="22"/>
        <v>3956450043.7677836</v>
      </c>
      <c r="X41" s="90">
        <f t="shared" si="23"/>
        <v>3.9564500437677834</v>
      </c>
      <c r="Y41" s="87">
        <f t="shared" si="24"/>
        <v>0.5</v>
      </c>
      <c r="Z41" s="87">
        <f t="shared" si="25"/>
        <v>11.74</v>
      </c>
      <c r="AA41" s="87">
        <f t="shared" si="26"/>
        <v>0.33600000000000002</v>
      </c>
      <c r="AB41" s="90">
        <f t="shared" si="27"/>
        <v>1.4015539722029999</v>
      </c>
      <c r="AC41" s="91">
        <f t="shared" si="28"/>
        <v>0</v>
      </c>
      <c r="AD41" s="91">
        <f t="shared" si="29"/>
        <v>0</v>
      </c>
      <c r="AE41" s="91">
        <f t="shared" si="30"/>
        <v>20.856457919687497</v>
      </c>
      <c r="AF41" s="91">
        <f t="shared" si="31"/>
        <v>62.569373759062486</v>
      </c>
      <c r="AG41" s="87">
        <f t="shared" si="32"/>
        <v>0</v>
      </c>
      <c r="AH41" s="87">
        <f>1</f>
        <v>1</v>
      </c>
      <c r="AI41" s="92">
        <f t="shared" si="33"/>
        <v>11</v>
      </c>
      <c r="AJ41" s="87">
        <f t="shared" si="34"/>
        <v>146.29999999999998</v>
      </c>
      <c r="AK41" s="87">
        <f t="shared" si="35"/>
        <v>366.85901449174941</v>
      </c>
      <c r="AL41" s="87">
        <f t="shared" si="36"/>
        <v>0</v>
      </c>
      <c r="AM41" s="111">
        <f t="shared" si="37"/>
        <v>1.4629999999999999E-2</v>
      </c>
      <c r="AN41" s="92">
        <f t="shared" si="38"/>
        <v>5.7882864140322669E-2</v>
      </c>
      <c r="AO41" s="87">
        <f t="shared" si="39"/>
        <v>57882.864140322665</v>
      </c>
      <c r="AP41" s="91">
        <f t="shared" si="40"/>
        <v>41.299061818747397</v>
      </c>
      <c r="AQ41" s="93">
        <f t="shared" si="41"/>
        <v>170.35602659290083</v>
      </c>
      <c r="AR41" s="93">
        <f t="shared" si="42"/>
        <v>511.06807977870244</v>
      </c>
      <c r="AS41" s="91">
        <f t="shared" si="43"/>
        <v>2.8958705345587794</v>
      </c>
      <c r="AT41" s="91">
        <f t="shared" si="44"/>
        <v>1.4238264419323002E-2</v>
      </c>
      <c r="AU41" s="91">
        <f t="shared" si="45"/>
        <v>0</v>
      </c>
      <c r="AV41" s="91">
        <f t="shared" si="46"/>
        <v>85.734241080312501</v>
      </c>
      <c r="AW41" s="91">
        <f t="shared" si="47"/>
        <v>44.021325240937514</v>
      </c>
      <c r="AX41" s="107">
        <f t="shared" si="48"/>
        <v>146.29999999999998</v>
      </c>
      <c r="AY41" s="90">
        <f t="shared" si="49"/>
        <v>3.1430387596364455</v>
      </c>
      <c r="AZ41" s="91">
        <f t="shared" si="50"/>
        <v>506.48395255361049</v>
      </c>
      <c r="BA41" s="91">
        <f t="shared" si="51"/>
        <v>395645.00437677838</v>
      </c>
      <c r="BB41" s="87">
        <f t="shared" si="52"/>
        <v>3956450043.7677836</v>
      </c>
      <c r="BC41" s="90">
        <f t="shared" si="53"/>
        <v>3.9564500437677834</v>
      </c>
      <c r="BD41" s="87">
        <f t="shared" si="54"/>
        <v>0.5</v>
      </c>
      <c r="BE41" s="87">
        <f t="shared" si="55"/>
        <v>11.74</v>
      </c>
      <c r="BF41" s="87">
        <f t="shared" si="56"/>
        <v>0.33600000000000002</v>
      </c>
      <c r="BG41" s="90">
        <f t="shared" si="57"/>
        <v>1.4015539722029999</v>
      </c>
      <c r="BH41" s="91">
        <f t="shared" si="58"/>
        <v>0</v>
      </c>
      <c r="BI41" s="91">
        <f t="shared" si="59"/>
        <v>0</v>
      </c>
      <c r="BJ41" s="91">
        <f t="shared" si="60"/>
        <v>20.856457919687497</v>
      </c>
      <c r="BK41" s="91">
        <f t="shared" si="61"/>
        <v>62.569373759062486</v>
      </c>
      <c r="BL41" s="87">
        <f t="shared" si="62"/>
        <v>0</v>
      </c>
      <c r="BM41" s="87">
        <f>0</f>
        <v>0</v>
      </c>
      <c r="BN41" s="92">
        <f t="shared" si="63"/>
        <v>11</v>
      </c>
      <c r="BO41" s="87">
        <f t="shared" si="64"/>
        <v>146.29999999999998</v>
      </c>
      <c r="BP41" s="87">
        <f t="shared" si="65"/>
        <v>366.85901449174941</v>
      </c>
      <c r="BQ41" s="87">
        <f t="shared" si="66"/>
        <v>0</v>
      </c>
      <c r="BR41" s="111">
        <f t="shared" si="67"/>
        <v>1.4629999999999999E-2</v>
      </c>
      <c r="BS41" s="92">
        <f t="shared" si="68"/>
        <v>5.7882864140322669E-2</v>
      </c>
      <c r="BT41" s="87">
        <f t="shared" si="69"/>
        <v>57882.864140322665</v>
      </c>
      <c r="BU41" s="91">
        <f t="shared" si="70"/>
        <v>41.299061818747397</v>
      </c>
      <c r="BV41" s="93">
        <f t="shared" si="71"/>
        <v>170.35602659290083</v>
      </c>
      <c r="BW41" s="93">
        <f t="shared" si="72"/>
        <v>511.06807977870244</v>
      </c>
      <c r="BX41" s="91">
        <f t="shared" si="73"/>
        <v>2.8958705345587794</v>
      </c>
      <c r="BY41" s="91">
        <f t="shared" si="74"/>
        <v>1.4238264419323002E-2</v>
      </c>
      <c r="BZ41" s="91">
        <f t="shared" si="75"/>
        <v>0</v>
      </c>
      <c r="CA41" s="91">
        <f>Table2[[#This Row],[sed_del_kg_gullied]]-Table2[[#This Row],[sed_del_kg_no_gully]]</f>
        <v>0</v>
      </c>
      <c r="CB41" s="91">
        <f t="shared" si="76"/>
        <v>85.734241080312501</v>
      </c>
      <c r="CC41" s="91">
        <f t="shared" si="77"/>
        <v>44.021325240937514</v>
      </c>
      <c r="CD41" s="91">
        <f>IF(Gullying!$BM41=1,Gullying!$CC41,Gullying!$CB41)</f>
        <v>85.734241080312501</v>
      </c>
    </row>
    <row r="42" spans="1:82" x14ac:dyDescent="0.4">
      <c r="A42" s="21">
        <v>85</v>
      </c>
      <c r="B42" s="21" t="s">
        <v>94</v>
      </c>
      <c r="C42" s="21">
        <v>47.911650000000002</v>
      </c>
      <c r="D42" s="21">
        <v>619939.9</v>
      </c>
      <c r="E42" s="21">
        <v>6081831</v>
      </c>
      <c r="F42" s="21">
        <v>806.7</v>
      </c>
      <c r="G42" s="21">
        <v>10</v>
      </c>
      <c r="H42" s="21">
        <v>0</v>
      </c>
      <c r="I42" s="21">
        <v>20.93</v>
      </c>
      <c r="J42" s="21">
        <v>0</v>
      </c>
      <c r="K42" s="21">
        <v>100</v>
      </c>
      <c r="L42" s="21">
        <v>4.8</v>
      </c>
      <c r="M42" s="21">
        <v>100</v>
      </c>
      <c r="N42" s="21">
        <v>0</v>
      </c>
      <c r="O42" s="35">
        <v>3</v>
      </c>
      <c r="P42" s="21">
        <v>90</v>
      </c>
      <c r="Q42" s="4">
        <v>781.16</v>
      </c>
      <c r="R42" s="4">
        <v>30.899999619999999</v>
      </c>
      <c r="S42" s="107">
        <f t="shared" si="18"/>
        <v>100.464</v>
      </c>
      <c r="T42" s="90">
        <f t="shared" si="19"/>
        <v>2.4803708090655769</v>
      </c>
      <c r="U42" s="91">
        <f t="shared" si="20"/>
        <v>450.36260381976365</v>
      </c>
      <c r="V42" s="91">
        <f t="shared" si="21"/>
        <v>351805.25159984658</v>
      </c>
      <c r="W42" s="87">
        <f t="shared" si="22"/>
        <v>3518052515.998466</v>
      </c>
      <c r="X42" s="90">
        <f t="shared" si="23"/>
        <v>3.5180525159984661</v>
      </c>
      <c r="Y42" s="87">
        <f t="shared" si="24"/>
        <v>0.5</v>
      </c>
      <c r="Z42" s="87">
        <f t="shared" si="25"/>
        <v>11.74</v>
      </c>
      <c r="AA42" s="87">
        <f t="shared" si="26"/>
        <v>0.33600000000000002</v>
      </c>
      <c r="AB42" s="90">
        <f t="shared" si="27"/>
        <v>0.96244510091183999</v>
      </c>
      <c r="AC42" s="91">
        <f t="shared" si="28"/>
        <v>0</v>
      </c>
      <c r="AD42" s="91">
        <f t="shared" si="29"/>
        <v>0</v>
      </c>
      <c r="AE42" s="91">
        <f t="shared" si="30"/>
        <v>14.322099715949998</v>
      </c>
      <c r="AF42" s="91">
        <f t="shared" si="31"/>
        <v>42.966299147849995</v>
      </c>
      <c r="AG42" s="87">
        <f t="shared" si="32"/>
        <v>0</v>
      </c>
      <c r="AH42" s="87">
        <f>1</f>
        <v>1</v>
      </c>
      <c r="AI42" s="92">
        <f t="shared" si="33"/>
        <v>3</v>
      </c>
      <c r="AJ42" s="87">
        <f t="shared" si="34"/>
        <v>100.464</v>
      </c>
      <c r="AK42" s="87">
        <f t="shared" si="35"/>
        <v>1337.5125826508179</v>
      </c>
      <c r="AL42" s="87">
        <f t="shared" si="36"/>
        <v>0</v>
      </c>
      <c r="AM42" s="111">
        <f t="shared" si="37"/>
        <v>1.00464E-2</v>
      </c>
      <c r="AN42" s="92">
        <f t="shared" si="38"/>
        <v>3.5343762796726991E-2</v>
      </c>
      <c r="AO42" s="87">
        <f t="shared" si="39"/>
        <v>35343.762796726995</v>
      </c>
      <c r="AP42" s="91">
        <f t="shared" si="40"/>
        <v>36.722887116617457</v>
      </c>
      <c r="AQ42" s="93">
        <f t="shared" si="41"/>
        <v>111.50983666322463</v>
      </c>
      <c r="AR42" s="93">
        <f t="shared" si="42"/>
        <v>334.5295099896739</v>
      </c>
      <c r="AS42" s="91">
        <f t="shared" si="43"/>
        <v>6.448494778478155</v>
      </c>
      <c r="AT42" s="91">
        <f t="shared" si="44"/>
        <v>0.19883893218403911</v>
      </c>
      <c r="AU42" s="91">
        <f t="shared" si="45"/>
        <v>0</v>
      </c>
      <c r="AV42" s="91">
        <f t="shared" si="46"/>
        <v>33.589550284050006</v>
      </c>
      <c r="AW42" s="91">
        <f t="shared" si="47"/>
        <v>4.9453508521500069</v>
      </c>
      <c r="AX42" s="107">
        <f t="shared" si="48"/>
        <v>100.464</v>
      </c>
      <c r="AY42" s="90">
        <f t="shared" si="49"/>
        <v>2.4803708090655769</v>
      </c>
      <c r="AZ42" s="91">
        <f t="shared" si="50"/>
        <v>450.36260381976365</v>
      </c>
      <c r="BA42" s="91">
        <f t="shared" si="51"/>
        <v>351805.25159984658</v>
      </c>
      <c r="BB42" s="87">
        <f t="shared" si="52"/>
        <v>3518052515.998466</v>
      </c>
      <c r="BC42" s="90">
        <f t="shared" si="53"/>
        <v>3.5180525159984661</v>
      </c>
      <c r="BD42" s="87">
        <f t="shared" si="54"/>
        <v>0.5</v>
      </c>
      <c r="BE42" s="87">
        <f t="shared" si="55"/>
        <v>11.74</v>
      </c>
      <c r="BF42" s="87">
        <f t="shared" si="56"/>
        <v>0.33600000000000002</v>
      </c>
      <c r="BG42" s="90">
        <f t="shared" si="57"/>
        <v>0.96244510091183999</v>
      </c>
      <c r="BH42" s="91">
        <f t="shared" si="58"/>
        <v>0</v>
      </c>
      <c r="BI42" s="91">
        <f t="shared" si="59"/>
        <v>0</v>
      </c>
      <c r="BJ42" s="91">
        <f t="shared" si="60"/>
        <v>14.322099715949998</v>
      </c>
      <c r="BK42" s="91">
        <f t="shared" si="61"/>
        <v>42.966299147849995</v>
      </c>
      <c r="BL42" s="87">
        <f t="shared" si="62"/>
        <v>0</v>
      </c>
      <c r="BM42" s="87">
        <f>0</f>
        <v>0</v>
      </c>
      <c r="BN42" s="92">
        <f t="shared" si="63"/>
        <v>3</v>
      </c>
      <c r="BO42" s="87">
        <f t="shared" si="64"/>
        <v>100.464</v>
      </c>
      <c r="BP42" s="87">
        <f t="shared" si="65"/>
        <v>1337.5125826508179</v>
      </c>
      <c r="BQ42" s="87">
        <f t="shared" si="66"/>
        <v>0</v>
      </c>
      <c r="BR42" s="111">
        <f t="shared" si="67"/>
        <v>1.00464E-2</v>
      </c>
      <c r="BS42" s="92">
        <f t="shared" si="68"/>
        <v>3.5343762796726991E-2</v>
      </c>
      <c r="BT42" s="87">
        <f t="shared" si="69"/>
        <v>35343.762796726995</v>
      </c>
      <c r="BU42" s="91">
        <f t="shared" si="70"/>
        <v>36.722887116617457</v>
      </c>
      <c r="BV42" s="93">
        <f t="shared" si="71"/>
        <v>111.50983666322463</v>
      </c>
      <c r="BW42" s="93">
        <f t="shared" si="72"/>
        <v>334.5295099896739</v>
      </c>
      <c r="BX42" s="91">
        <f t="shared" si="73"/>
        <v>6.448494778478155</v>
      </c>
      <c r="BY42" s="91">
        <f t="shared" si="74"/>
        <v>0.19883893218403911</v>
      </c>
      <c r="BZ42" s="91">
        <f t="shared" si="75"/>
        <v>0</v>
      </c>
      <c r="CA42" s="91">
        <f>Table2[[#This Row],[sed_del_kg_gullied]]-Table2[[#This Row],[sed_del_kg_no_gully]]</f>
        <v>0</v>
      </c>
      <c r="CB42" s="91">
        <f t="shared" si="76"/>
        <v>33.589550284050006</v>
      </c>
      <c r="CC42" s="91">
        <f t="shared" si="77"/>
        <v>4.9453508521500069</v>
      </c>
      <c r="CD42" s="91">
        <f>IF(Gullying!$BM42=1,Gullying!$CC42,Gullying!$CB42)</f>
        <v>33.589550284050006</v>
      </c>
    </row>
    <row r="43" spans="1:82" x14ac:dyDescent="0.4">
      <c r="A43" s="21">
        <v>102</v>
      </c>
      <c r="B43" s="21" t="s">
        <v>94</v>
      </c>
      <c r="C43" s="21">
        <v>22.501885000000001</v>
      </c>
      <c r="D43" s="21">
        <v>620263.80000000005</v>
      </c>
      <c r="E43" s="21">
        <v>6082230</v>
      </c>
      <c r="F43" s="21">
        <v>806.9</v>
      </c>
      <c r="G43" s="21">
        <v>8</v>
      </c>
      <c r="H43" s="21">
        <v>0</v>
      </c>
      <c r="I43" s="21">
        <v>63.7</v>
      </c>
      <c r="J43" s="21">
        <v>0</v>
      </c>
      <c r="K43" s="21">
        <v>100</v>
      </c>
      <c r="L43" s="21">
        <v>4</v>
      </c>
      <c r="M43" s="21">
        <v>100</v>
      </c>
      <c r="N43" s="21">
        <v>0</v>
      </c>
      <c r="O43" s="35">
        <v>7</v>
      </c>
      <c r="P43" s="21">
        <v>90</v>
      </c>
      <c r="Q43" s="4">
        <v>781.16</v>
      </c>
      <c r="R43" s="4">
        <v>30.899999619999999</v>
      </c>
      <c r="S43" s="107">
        <f t="shared" si="18"/>
        <v>254.8</v>
      </c>
      <c r="T43" s="90">
        <f t="shared" si="19"/>
        <v>2.2523775068692409</v>
      </c>
      <c r="U43" s="91">
        <f t="shared" si="20"/>
        <v>431.053851056756</v>
      </c>
      <c r="V43" s="91">
        <f t="shared" si="21"/>
        <v>336722.02629149548</v>
      </c>
      <c r="W43" s="87">
        <f t="shared" si="22"/>
        <v>3367220262.9149547</v>
      </c>
      <c r="X43" s="90">
        <f t="shared" si="23"/>
        <v>3.3672202629149548</v>
      </c>
      <c r="Y43" s="87">
        <f t="shared" si="24"/>
        <v>0.5</v>
      </c>
      <c r="Z43" s="87">
        <f t="shared" si="25"/>
        <v>11.74</v>
      </c>
      <c r="AA43" s="87">
        <f t="shared" si="26"/>
        <v>0.33600000000000002</v>
      </c>
      <c r="AB43" s="90">
        <f t="shared" si="27"/>
        <v>2.4409839515880005</v>
      </c>
      <c r="AC43" s="91">
        <f t="shared" si="28"/>
        <v>0.92885727958800035</v>
      </c>
      <c r="AD43" s="91">
        <f t="shared" si="29"/>
        <v>1.9369417275880005</v>
      </c>
      <c r="AE43" s="91">
        <f t="shared" si="30"/>
        <v>36.324165946250005</v>
      </c>
      <c r="AF43" s="91">
        <f t="shared" si="31"/>
        <v>108.97249783875002</v>
      </c>
      <c r="AG43" s="87">
        <f t="shared" si="32"/>
        <v>0</v>
      </c>
      <c r="AH43" s="87">
        <f>1</f>
        <v>1</v>
      </c>
      <c r="AI43" s="92">
        <f t="shared" si="33"/>
        <v>7</v>
      </c>
      <c r="AJ43" s="87">
        <f t="shared" si="34"/>
        <v>254.8</v>
      </c>
      <c r="AK43" s="87">
        <f t="shared" si="35"/>
        <v>574.38563336875552</v>
      </c>
      <c r="AL43" s="87">
        <f t="shared" si="36"/>
        <v>1.9369417275880005</v>
      </c>
      <c r="AM43" s="111">
        <f t="shared" si="37"/>
        <v>2.5480000000000003E-2</v>
      </c>
      <c r="AN43" s="92">
        <f t="shared" si="38"/>
        <v>8.5796772299073051E-2</v>
      </c>
      <c r="AO43" s="87">
        <f t="shared" si="39"/>
        <v>85796.772299073054</v>
      </c>
      <c r="AP43" s="91">
        <f t="shared" si="40"/>
        <v>35.14843767950925</v>
      </c>
      <c r="AQ43" s="93">
        <f t="shared" si="41"/>
        <v>20.649141247819003</v>
      </c>
      <c r="AR43" s="93">
        <f t="shared" si="42"/>
        <v>61.947423743457009</v>
      </c>
      <c r="AS43" s="91">
        <f t="shared" si="43"/>
        <v>25.468784538745886</v>
      </c>
      <c r="AT43" s="91">
        <f t="shared" si="44"/>
        <v>13.372500002775242</v>
      </c>
      <c r="AU43" s="91">
        <f t="shared" si="45"/>
        <v>49.331551524045018</v>
      </c>
      <c r="AV43" s="91">
        <f t="shared" si="46"/>
        <v>0</v>
      </c>
      <c r="AW43" s="91">
        <f t="shared" si="47"/>
        <v>0</v>
      </c>
      <c r="AX43" s="107">
        <f t="shared" si="48"/>
        <v>254.8</v>
      </c>
      <c r="AY43" s="90">
        <f t="shared" si="49"/>
        <v>2.2523775068692409</v>
      </c>
      <c r="AZ43" s="91">
        <f t="shared" si="50"/>
        <v>431.053851056756</v>
      </c>
      <c r="BA43" s="91">
        <f t="shared" si="51"/>
        <v>336722.02629149548</v>
      </c>
      <c r="BB43" s="87">
        <f t="shared" si="52"/>
        <v>3367220262.9149547</v>
      </c>
      <c r="BC43" s="90">
        <f t="shared" si="53"/>
        <v>3.3672202629149548</v>
      </c>
      <c r="BD43" s="87">
        <f t="shared" si="54"/>
        <v>0.5</v>
      </c>
      <c r="BE43" s="87">
        <f t="shared" si="55"/>
        <v>11.74</v>
      </c>
      <c r="BF43" s="87">
        <f t="shared" si="56"/>
        <v>0.33600000000000002</v>
      </c>
      <c r="BG43" s="90">
        <f t="shared" si="57"/>
        <v>2.4409839515880005</v>
      </c>
      <c r="BH43" s="91">
        <f t="shared" si="58"/>
        <v>0.92885727958800035</v>
      </c>
      <c r="BI43" s="91">
        <f t="shared" si="59"/>
        <v>1.9369417275880005</v>
      </c>
      <c r="BJ43" s="91">
        <f t="shared" si="60"/>
        <v>36.324165946250005</v>
      </c>
      <c r="BK43" s="91">
        <f t="shared" si="61"/>
        <v>108.97249783875002</v>
      </c>
      <c r="BL43" s="87">
        <f t="shared" si="62"/>
        <v>0</v>
      </c>
      <c r="BM43" s="87">
        <f>0</f>
        <v>0</v>
      </c>
      <c r="BN43" s="92">
        <f t="shared" si="63"/>
        <v>7</v>
      </c>
      <c r="BO43" s="87">
        <f t="shared" si="64"/>
        <v>254.8</v>
      </c>
      <c r="BP43" s="87">
        <f t="shared" si="65"/>
        <v>574.38563336875552</v>
      </c>
      <c r="BQ43" s="87">
        <f t="shared" si="66"/>
        <v>0.92885727958800035</v>
      </c>
      <c r="BR43" s="111">
        <f t="shared" si="67"/>
        <v>2.5480000000000003E-2</v>
      </c>
      <c r="BS43" s="92">
        <f t="shared" si="68"/>
        <v>8.5796772299073051E-2</v>
      </c>
      <c r="BT43" s="87">
        <f t="shared" si="69"/>
        <v>85796.772299073054</v>
      </c>
      <c r="BU43" s="91">
        <f t="shared" si="70"/>
        <v>35.14843767950925</v>
      </c>
      <c r="BV43" s="93">
        <f t="shared" si="71"/>
        <v>20.649141247819003</v>
      </c>
      <c r="BW43" s="93">
        <f t="shared" si="72"/>
        <v>61.947423743457009</v>
      </c>
      <c r="BX43" s="91">
        <f t="shared" si="73"/>
        <v>25.468784538745886</v>
      </c>
      <c r="BY43" s="91">
        <f t="shared" si="74"/>
        <v>13.372500002775242</v>
      </c>
      <c r="BZ43" s="91">
        <f t="shared" si="75"/>
        <v>12.421143973868338</v>
      </c>
      <c r="CA43" s="91">
        <f>Table2[[#This Row],[sed_del_kg_gullied]]-Table2[[#This Row],[sed_del_kg_no_gully]]</f>
        <v>36.910407550176679</v>
      </c>
      <c r="CB43" s="91">
        <f t="shared" si="76"/>
        <v>0</v>
      </c>
      <c r="CC43" s="91">
        <f t="shared" si="77"/>
        <v>0</v>
      </c>
      <c r="CD43" s="91">
        <f>IF(Gullying!$BM43=1,Gullying!$CC43,Gullying!$CB43)</f>
        <v>0</v>
      </c>
    </row>
    <row r="44" spans="1:82" x14ac:dyDescent="0.4">
      <c r="A44" s="21">
        <v>86</v>
      </c>
      <c r="B44" s="21" t="s">
        <v>94</v>
      </c>
      <c r="C44" s="21">
        <v>4.0108709999999999</v>
      </c>
      <c r="D44" s="21">
        <v>619934.4</v>
      </c>
      <c r="E44" s="21">
        <v>6081851.2000000002</v>
      </c>
      <c r="F44" s="21">
        <v>809.3</v>
      </c>
      <c r="G44" s="21">
        <v>9</v>
      </c>
      <c r="H44" s="21">
        <v>0</v>
      </c>
      <c r="I44" s="21">
        <v>10.54</v>
      </c>
      <c r="J44" s="21">
        <v>0</v>
      </c>
      <c r="K44" s="21">
        <v>100</v>
      </c>
      <c r="L44" s="21">
        <v>3.1</v>
      </c>
      <c r="M44" s="21">
        <v>100</v>
      </c>
      <c r="N44" s="21">
        <v>0</v>
      </c>
      <c r="O44" s="35">
        <v>9</v>
      </c>
      <c r="P44" s="21">
        <v>90</v>
      </c>
      <c r="Q44" s="4">
        <v>781.16</v>
      </c>
      <c r="R44" s="4">
        <v>30.899999619999999</v>
      </c>
      <c r="S44" s="107">
        <f t="shared" si="18"/>
        <v>32.673999999999999</v>
      </c>
      <c r="T44" s="90">
        <f t="shared" si="19"/>
        <v>2.3662432634748507</v>
      </c>
      <c r="U44" s="91">
        <f t="shared" si="20"/>
        <v>440.69714198368507</v>
      </c>
      <c r="V44" s="91">
        <f t="shared" si="21"/>
        <v>344254.9794319754</v>
      </c>
      <c r="W44" s="87">
        <f t="shared" si="22"/>
        <v>3442549794.3197541</v>
      </c>
      <c r="X44" s="90">
        <f t="shared" si="23"/>
        <v>3.4425497943197541</v>
      </c>
      <c r="Y44" s="87">
        <f t="shared" si="24"/>
        <v>0.5</v>
      </c>
      <c r="Z44" s="87">
        <f t="shared" si="25"/>
        <v>11.74</v>
      </c>
      <c r="AA44" s="87">
        <f t="shared" si="26"/>
        <v>0.33600000000000002</v>
      </c>
      <c r="AB44" s="90">
        <f t="shared" si="27"/>
        <v>0.31301691379194002</v>
      </c>
      <c r="AC44" s="91">
        <f t="shared" si="28"/>
        <v>4.3486382591940043E-2</v>
      </c>
      <c r="AD44" s="91">
        <f t="shared" si="29"/>
        <v>0.22317340339194</v>
      </c>
      <c r="AE44" s="91">
        <f t="shared" si="30"/>
        <v>4.6579897885705357</v>
      </c>
      <c r="AF44" s="91">
        <f t="shared" si="31"/>
        <v>13.973969365711607</v>
      </c>
      <c r="AG44" s="87">
        <f t="shared" si="32"/>
        <v>0</v>
      </c>
      <c r="AH44" s="87">
        <f>1</f>
        <v>1</v>
      </c>
      <c r="AI44" s="92">
        <f t="shared" si="33"/>
        <v>9</v>
      </c>
      <c r="AJ44" s="87">
        <f t="shared" si="34"/>
        <v>32.673999999999999</v>
      </c>
      <c r="AK44" s="87">
        <f t="shared" si="35"/>
        <v>447.47172550497629</v>
      </c>
      <c r="AL44" s="87">
        <f t="shared" si="36"/>
        <v>0.22317340339194</v>
      </c>
      <c r="AM44" s="111">
        <f t="shared" si="37"/>
        <v>3.2674000000000002E-3</v>
      </c>
      <c r="AN44" s="92">
        <f t="shared" si="38"/>
        <v>1.1248187197960365E-2</v>
      </c>
      <c r="AO44" s="87">
        <f t="shared" si="39"/>
        <v>11248.187197960364</v>
      </c>
      <c r="AP44" s="91">
        <f t="shared" si="40"/>
        <v>35.934758482210803</v>
      </c>
      <c r="AQ44" s="93">
        <f t="shared" si="41"/>
        <v>28.702445919493762</v>
      </c>
      <c r="AR44" s="93">
        <f t="shared" si="42"/>
        <v>86.107337758481293</v>
      </c>
      <c r="AS44" s="91">
        <f t="shared" si="43"/>
        <v>22.964438646115951</v>
      </c>
      <c r="AT44" s="91">
        <f t="shared" si="44"/>
        <v>9.3786005885598716</v>
      </c>
      <c r="AU44" s="91">
        <f t="shared" si="45"/>
        <v>5.125051929639092</v>
      </c>
      <c r="AV44" s="91">
        <f t="shared" si="46"/>
        <v>0</v>
      </c>
      <c r="AW44" s="91">
        <f t="shared" si="47"/>
        <v>0</v>
      </c>
      <c r="AX44" s="107">
        <f t="shared" si="48"/>
        <v>32.673999999999999</v>
      </c>
      <c r="AY44" s="90">
        <f t="shared" si="49"/>
        <v>2.3662432634748507</v>
      </c>
      <c r="AZ44" s="91">
        <f t="shared" si="50"/>
        <v>440.69714198368507</v>
      </c>
      <c r="BA44" s="91">
        <f t="shared" si="51"/>
        <v>344254.9794319754</v>
      </c>
      <c r="BB44" s="87">
        <f t="shared" si="52"/>
        <v>3442549794.3197541</v>
      </c>
      <c r="BC44" s="90">
        <f t="shared" si="53"/>
        <v>3.4425497943197541</v>
      </c>
      <c r="BD44" s="87">
        <f t="shared" si="54"/>
        <v>0.5</v>
      </c>
      <c r="BE44" s="87">
        <f t="shared" si="55"/>
        <v>11.74</v>
      </c>
      <c r="BF44" s="87">
        <f t="shared" si="56"/>
        <v>0.33600000000000002</v>
      </c>
      <c r="BG44" s="90">
        <f t="shared" si="57"/>
        <v>0.31301691379194002</v>
      </c>
      <c r="BH44" s="91">
        <f t="shared" si="58"/>
        <v>4.3486382591940043E-2</v>
      </c>
      <c r="BI44" s="91">
        <f t="shared" si="59"/>
        <v>0.22317340339194</v>
      </c>
      <c r="BJ44" s="91">
        <f t="shared" si="60"/>
        <v>4.6579897885705357</v>
      </c>
      <c r="BK44" s="91">
        <f t="shared" si="61"/>
        <v>13.973969365711607</v>
      </c>
      <c r="BL44" s="87">
        <f t="shared" si="62"/>
        <v>0</v>
      </c>
      <c r="BM44" s="87">
        <f>0</f>
        <v>0</v>
      </c>
      <c r="BN44" s="92">
        <f t="shared" si="63"/>
        <v>9</v>
      </c>
      <c r="BO44" s="87">
        <f t="shared" si="64"/>
        <v>32.673999999999999</v>
      </c>
      <c r="BP44" s="87">
        <f t="shared" si="65"/>
        <v>447.47172550497629</v>
      </c>
      <c r="BQ44" s="87">
        <f t="shared" si="66"/>
        <v>4.3486382591940043E-2</v>
      </c>
      <c r="BR44" s="111">
        <f t="shared" si="67"/>
        <v>3.2674000000000002E-3</v>
      </c>
      <c r="BS44" s="92">
        <f t="shared" si="68"/>
        <v>1.1248187197960365E-2</v>
      </c>
      <c r="BT44" s="87">
        <f t="shared" si="69"/>
        <v>11248.187197960364</v>
      </c>
      <c r="BU44" s="91">
        <f t="shared" si="70"/>
        <v>35.934758482210803</v>
      </c>
      <c r="BV44" s="93">
        <f t="shared" si="71"/>
        <v>28.702445919493762</v>
      </c>
      <c r="BW44" s="93">
        <f t="shared" si="72"/>
        <v>86.107337758481293</v>
      </c>
      <c r="BX44" s="91">
        <f t="shared" si="73"/>
        <v>22.964438646115951</v>
      </c>
      <c r="BY44" s="91">
        <f t="shared" si="74"/>
        <v>9.3786005885598716</v>
      </c>
      <c r="BZ44" s="91">
        <f t="shared" si="75"/>
        <v>0.40784141337110863</v>
      </c>
      <c r="CA44" s="91">
        <f>Table2[[#This Row],[sed_del_kg_gullied]]-Table2[[#This Row],[sed_del_kg_no_gully]]</f>
        <v>4.7172105162679836</v>
      </c>
      <c r="CB44" s="91">
        <f t="shared" si="76"/>
        <v>0</v>
      </c>
      <c r="CC44" s="91">
        <f t="shared" si="77"/>
        <v>0</v>
      </c>
      <c r="CD44" s="91">
        <f>IF(Gullying!$BM44=1,Gullying!$CC44,Gullying!$CB44)</f>
        <v>0</v>
      </c>
    </row>
    <row r="45" spans="1:82" x14ac:dyDescent="0.4">
      <c r="A45" s="21">
        <v>89</v>
      </c>
      <c r="B45" s="21" t="s">
        <v>94</v>
      </c>
      <c r="C45" s="21">
        <v>29.374561</v>
      </c>
      <c r="D45" s="21">
        <v>619982.80000000005</v>
      </c>
      <c r="E45" s="21">
        <v>6081936.5999999996</v>
      </c>
      <c r="F45" s="21">
        <v>811.3</v>
      </c>
      <c r="G45" s="21">
        <v>13</v>
      </c>
      <c r="H45" s="21">
        <v>0</v>
      </c>
      <c r="I45" s="21">
        <v>33.9</v>
      </c>
      <c r="J45" s="21">
        <v>0</v>
      </c>
      <c r="K45" s="21">
        <v>100</v>
      </c>
      <c r="L45" s="21">
        <v>3.1</v>
      </c>
      <c r="M45" s="21">
        <v>100</v>
      </c>
      <c r="N45" s="21">
        <v>1</v>
      </c>
      <c r="O45" s="35">
        <v>17</v>
      </c>
      <c r="P45" s="21">
        <v>90</v>
      </c>
      <c r="Q45" s="4">
        <v>781.16</v>
      </c>
      <c r="R45" s="4">
        <v>30.899999619999999</v>
      </c>
      <c r="S45" s="107">
        <f t="shared" si="18"/>
        <v>105.09</v>
      </c>
      <c r="T45" s="90">
        <f t="shared" si="19"/>
        <v>2.8192668236646963</v>
      </c>
      <c r="U45" s="91">
        <f t="shared" si="20"/>
        <v>479.0637072961631</v>
      </c>
      <c r="V45" s="91">
        <f t="shared" si="21"/>
        <v>374225.40559147077</v>
      </c>
      <c r="W45" s="87">
        <f t="shared" si="22"/>
        <v>3742254055.9147077</v>
      </c>
      <c r="X45" s="90">
        <f t="shared" si="23"/>
        <v>3.7422540559147075</v>
      </c>
      <c r="Y45" s="87">
        <f t="shared" si="24"/>
        <v>0.5</v>
      </c>
      <c r="Z45" s="87">
        <f t="shared" si="25"/>
        <v>11.74</v>
      </c>
      <c r="AA45" s="87">
        <f t="shared" si="26"/>
        <v>0.33600000000000002</v>
      </c>
      <c r="AB45" s="90">
        <f t="shared" si="27"/>
        <v>1.0067621800329001</v>
      </c>
      <c r="AC45" s="91">
        <f t="shared" si="28"/>
        <v>0</v>
      </c>
      <c r="AD45" s="91">
        <f t="shared" si="29"/>
        <v>0.34877201363290006</v>
      </c>
      <c r="AE45" s="91">
        <f t="shared" si="30"/>
        <v>14.981580060013393</v>
      </c>
      <c r="AF45" s="91">
        <f t="shared" si="31"/>
        <v>44.944740180040178</v>
      </c>
      <c r="AG45" s="87">
        <f t="shared" si="32"/>
        <v>0</v>
      </c>
      <c r="AH45" s="87">
        <f>1</f>
        <v>1</v>
      </c>
      <c r="AI45" s="92">
        <f t="shared" si="33"/>
        <v>17</v>
      </c>
      <c r="AJ45" s="87">
        <f t="shared" si="34"/>
        <v>105.09</v>
      </c>
      <c r="AK45" s="87">
        <f t="shared" si="35"/>
        <v>239.42125338832878</v>
      </c>
      <c r="AL45" s="87">
        <f t="shared" si="36"/>
        <v>0.34877201363290006</v>
      </c>
      <c r="AM45" s="111">
        <f t="shared" si="37"/>
        <v>1.0509000000000001E-2</v>
      </c>
      <c r="AN45" s="92">
        <f t="shared" si="38"/>
        <v>3.9327347873607664E-2</v>
      </c>
      <c r="AO45" s="87">
        <f t="shared" si="39"/>
        <v>39327.347873607665</v>
      </c>
      <c r="AP45" s="91">
        <f t="shared" si="40"/>
        <v>39.063195512889131</v>
      </c>
      <c r="AQ45" s="93">
        <f t="shared" si="41"/>
        <v>65.357060430944827</v>
      </c>
      <c r="AR45" s="93">
        <f t="shared" si="42"/>
        <v>196.07118129283447</v>
      </c>
      <c r="AS45" s="91">
        <f t="shared" si="43"/>
        <v>14.09204691609939</v>
      </c>
      <c r="AT45" s="91">
        <f t="shared" si="44"/>
        <v>1.8339466872487697</v>
      </c>
      <c r="AU45" s="91">
        <f t="shared" si="45"/>
        <v>4.9149115791372839</v>
      </c>
      <c r="AV45" s="91">
        <f t="shared" si="46"/>
        <v>14.392980939986607</v>
      </c>
      <c r="AW45" s="91">
        <f t="shared" si="47"/>
        <v>0</v>
      </c>
      <c r="AX45" s="107">
        <f t="shared" si="48"/>
        <v>105.09</v>
      </c>
      <c r="AY45" s="90">
        <f t="shared" si="49"/>
        <v>2.8192668236646963</v>
      </c>
      <c r="AZ45" s="91">
        <f t="shared" si="50"/>
        <v>479.0637072961631</v>
      </c>
      <c r="BA45" s="91">
        <f t="shared" si="51"/>
        <v>374225.40559147077</v>
      </c>
      <c r="BB45" s="87">
        <f t="shared" si="52"/>
        <v>3742254055.9147077</v>
      </c>
      <c r="BC45" s="90">
        <f t="shared" si="53"/>
        <v>3.7422540559147075</v>
      </c>
      <c r="BD45" s="87">
        <f t="shared" si="54"/>
        <v>0.5</v>
      </c>
      <c r="BE45" s="87">
        <f t="shared" si="55"/>
        <v>11.74</v>
      </c>
      <c r="BF45" s="87">
        <f t="shared" si="56"/>
        <v>0.33600000000000002</v>
      </c>
      <c r="BG45" s="90">
        <f t="shared" si="57"/>
        <v>1.0067621800329001</v>
      </c>
      <c r="BH45" s="91">
        <f t="shared" si="58"/>
        <v>0</v>
      </c>
      <c r="BI45" s="91">
        <f t="shared" si="59"/>
        <v>0.34877201363290006</v>
      </c>
      <c r="BJ45" s="91">
        <f t="shared" si="60"/>
        <v>14.981580060013393</v>
      </c>
      <c r="BK45" s="91">
        <f t="shared" si="61"/>
        <v>44.944740180040178</v>
      </c>
      <c r="BL45" s="87">
        <f t="shared" si="62"/>
        <v>0</v>
      </c>
      <c r="BM45" s="87">
        <f>0</f>
        <v>0</v>
      </c>
      <c r="BN45" s="92">
        <f t="shared" si="63"/>
        <v>17</v>
      </c>
      <c r="BO45" s="87">
        <f t="shared" si="64"/>
        <v>105.09</v>
      </c>
      <c r="BP45" s="87">
        <f t="shared" si="65"/>
        <v>239.42125338832878</v>
      </c>
      <c r="BQ45" s="87">
        <f t="shared" si="66"/>
        <v>0</v>
      </c>
      <c r="BR45" s="111">
        <f t="shared" si="67"/>
        <v>1.0509000000000001E-2</v>
      </c>
      <c r="BS45" s="92">
        <f t="shared" si="68"/>
        <v>3.9327347873607664E-2</v>
      </c>
      <c r="BT45" s="87">
        <f t="shared" si="69"/>
        <v>39327.347873607665</v>
      </c>
      <c r="BU45" s="91">
        <f t="shared" si="70"/>
        <v>39.063195512889131</v>
      </c>
      <c r="BV45" s="93">
        <f t="shared" si="71"/>
        <v>65.357060430944827</v>
      </c>
      <c r="BW45" s="93">
        <f t="shared" si="72"/>
        <v>196.07118129283447</v>
      </c>
      <c r="BX45" s="91">
        <f t="shared" si="73"/>
        <v>14.09204691609939</v>
      </c>
      <c r="BY45" s="91">
        <f t="shared" si="74"/>
        <v>1.8339466872487697</v>
      </c>
      <c r="BZ45" s="91">
        <f t="shared" si="75"/>
        <v>0</v>
      </c>
      <c r="CA45" s="91">
        <f>Table2[[#This Row],[sed_del_kg_gullied]]-Table2[[#This Row],[sed_del_kg_no_gully]]</f>
        <v>4.9149115791372839</v>
      </c>
      <c r="CB45" s="91">
        <f t="shared" si="76"/>
        <v>14.392980939986607</v>
      </c>
      <c r="CC45" s="91">
        <f t="shared" si="77"/>
        <v>0</v>
      </c>
      <c r="CD45" s="91">
        <f>IF(Gullying!$BM45=1,Gullying!$CC45,Gullying!$CB45)</f>
        <v>14.392980939986607</v>
      </c>
    </row>
    <row r="46" spans="1:82" x14ac:dyDescent="0.4">
      <c r="A46" s="21">
        <v>81</v>
      </c>
      <c r="B46" s="21" t="s">
        <v>94</v>
      </c>
      <c r="C46" s="21">
        <v>97.897906000000006</v>
      </c>
      <c r="D46" s="21">
        <v>619869.5</v>
      </c>
      <c r="E46" s="21">
        <v>6081743.5999999996</v>
      </c>
      <c r="F46" s="21">
        <v>814.4</v>
      </c>
      <c r="G46" s="21">
        <v>17</v>
      </c>
      <c r="H46" s="21">
        <v>0</v>
      </c>
      <c r="I46" s="21">
        <v>9.2100000000000009</v>
      </c>
      <c r="J46" s="21">
        <v>0</v>
      </c>
      <c r="K46" s="21">
        <v>100</v>
      </c>
      <c r="L46" s="21">
        <v>4.9000000000000004</v>
      </c>
      <c r="M46" s="21">
        <v>100</v>
      </c>
      <c r="N46" s="21">
        <v>0</v>
      </c>
      <c r="O46" s="35">
        <v>17</v>
      </c>
      <c r="P46" s="21">
        <v>90</v>
      </c>
      <c r="Q46" s="4">
        <v>781.16</v>
      </c>
      <c r="R46" s="4">
        <v>30.899999619999999</v>
      </c>
      <c r="S46" s="107">
        <f t="shared" si="18"/>
        <v>45.129000000000005</v>
      </c>
      <c r="T46" s="90">
        <f t="shared" si="19"/>
        <v>3.2456920022533735</v>
      </c>
      <c r="U46" s="91">
        <f t="shared" si="20"/>
        <v>515.17765567083813</v>
      </c>
      <c r="V46" s="91">
        <f t="shared" si="21"/>
        <v>402436.17750383192</v>
      </c>
      <c r="W46" s="87">
        <f t="shared" si="22"/>
        <v>4024361775.0383191</v>
      </c>
      <c r="X46" s="90">
        <f t="shared" si="23"/>
        <v>4.0243617750383187</v>
      </c>
      <c r="Y46" s="87">
        <f t="shared" si="24"/>
        <v>0.5</v>
      </c>
      <c r="Z46" s="87">
        <f t="shared" si="25"/>
        <v>11.74</v>
      </c>
      <c r="AA46" s="87">
        <f t="shared" si="26"/>
        <v>0.33600000000000002</v>
      </c>
      <c r="AB46" s="90">
        <f t="shared" si="27"/>
        <v>0.4323358114254901</v>
      </c>
      <c r="AC46" s="91">
        <f t="shared" si="28"/>
        <v>0</v>
      </c>
      <c r="AD46" s="91">
        <f t="shared" si="29"/>
        <v>0</v>
      </c>
      <c r="AE46" s="91">
        <f t="shared" si="30"/>
        <v>6.4335686224031265</v>
      </c>
      <c r="AF46" s="91">
        <f t="shared" si="31"/>
        <v>19.300705867209381</v>
      </c>
      <c r="AG46" s="87">
        <f t="shared" si="32"/>
        <v>0</v>
      </c>
      <c r="AH46" s="87">
        <f>1</f>
        <v>1</v>
      </c>
      <c r="AI46" s="92">
        <f t="shared" si="33"/>
        <v>17</v>
      </c>
      <c r="AJ46" s="87">
        <f t="shared" si="34"/>
        <v>45.129000000000005</v>
      </c>
      <c r="AK46" s="87">
        <f t="shared" si="35"/>
        <v>239.42125338832878</v>
      </c>
      <c r="AL46" s="87">
        <f t="shared" si="36"/>
        <v>0</v>
      </c>
      <c r="AM46" s="111">
        <f t="shared" si="37"/>
        <v>4.5129000000000002E-3</v>
      </c>
      <c r="AN46" s="92">
        <f t="shared" si="38"/>
        <v>1.816154225457043E-2</v>
      </c>
      <c r="AO46" s="87">
        <f t="shared" si="39"/>
        <v>18161.542254570431</v>
      </c>
      <c r="AP46" s="91">
        <f t="shared" si="40"/>
        <v>42.007952555881296</v>
      </c>
      <c r="AQ46" s="93">
        <f t="shared" si="41"/>
        <v>507.22448532994872</v>
      </c>
      <c r="AR46" s="93">
        <f t="shared" si="42"/>
        <v>1521.6734559898464</v>
      </c>
      <c r="AS46" s="91">
        <f t="shared" si="43"/>
        <v>1.537760537718208E-2</v>
      </c>
      <c r="AT46" s="91">
        <f t="shared" si="44"/>
        <v>2.0606446493670148E-9</v>
      </c>
      <c r="AU46" s="91">
        <f t="shared" si="45"/>
        <v>0</v>
      </c>
      <c r="AV46" s="91">
        <f t="shared" si="46"/>
        <v>91.464337377596877</v>
      </c>
      <c r="AW46" s="91">
        <f t="shared" si="47"/>
        <v>78.597200132790618</v>
      </c>
      <c r="AX46" s="107">
        <f t="shared" si="48"/>
        <v>45.129000000000005</v>
      </c>
      <c r="AY46" s="90">
        <f t="shared" si="49"/>
        <v>3.2456920022533735</v>
      </c>
      <c r="AZ46" s="91">
        <f t="shared" si="50"/>
        <v>515.17765567083813</v>
      </c>
      <c r="BA46" s="91">
        <f t="shared" si="51"/>
        <v>402436.17750383192</v>
      </c>
      <c r="BB46" s="87">
        <f t="shared" si="52"/>
        <v>4024361775.0383191</v>
      </c>
      <c r="BC46" s="90">
        <f t="shared" si="53"/>
        <v>4.0243617750383187</v>
      </c>
      <c r="BD46" s="87">
        <f t="shared" si="54"/>
        <v>0.5</v>
      </c>
      <c r="BE46" s="87">
        <f t="shared" si="55"/>
        <v>11.74</v>
      </c>
      <c r="BF46" s="87">
        <f t="shared" si="56"/>
        <v>0.33600000000000002</v>
      </c>
      <c r="BG46" s="90">
        <f t="shared" si="57"/>
        <v>0.4323358114254901</v>
      </c>
      <c r="BH46" s="91">
        <f t="shared" si="58"/>
        <v>0</v>
      </c>
      <c r="BI46" s="91">
        <f t="shared" si="59"/>
        <v>0</v>
      </c>
      <c r="BJ46" s="91">
        <f t="shared" si="60"/>
        <v>6.4335686224031265</v>
      </c>
      <c r="BK46" s="91">
        <f t="shared" si="61"/>
        <v>19.300705867209381</v>
      </c>
      <c r="BL46" s="87">
        <f t="shared" si="62"/>
        <v>0</v>
      </c>
      <c r="BM46" s="87">
        <f>0</f>
        <v>0</v>
      </c>
      <c r="BN46" s="92">
        <f t="shared" si="63"/>
        <v>17</v>
      </c>
      <c r="BO46" s="87">
        <f t="shared" si="64"/>
        <v>45.129000000000005</v>
      </c>
      <c r="BP46" s="87">
        <f t="shared" si="65"/>
        <v>239.42125338832878</v>
      </c>
      <c r="BQ46" s="87">
        <f t="shared" si="66"/>
        <v>0</v>
      </c>
      <c r="BR46" s="111">
        <f t="shared" si="67"/>
        <v>4.5129000000000002E-3</v>
      </c>
      <c r="BS46" s="92">
        <f t="shared" si="68"/>
        <v>1.816154225457043E-2</v>
      </c>
      <c r="BT46" s="87">
        <f t="shared" si="69"/>
        <v>18161.542254570431</v>
      </c>
      <c r="BU46" s="91">
        <f t="shared" si="70"/>
        <v>42.007952555881296</v>
      </c>
      <c r="BV46" s="93">
        <f t="shared" si="71"/>
        <v>507.22448532994872</v>
      </c>
      <c r="BW46" s="93">
        <f t="shared" si="72"/>
        <v>1521.6734559898464</v>
      </c>
      <c r="BX46" s="91">
        <f t="shared" si="73"/>
        <v>1.537760537718208E-2</v>
      </c>
      <c r="BY46" s="91">
        <f t="shared" si="74"/>
        <v>2.0606446493670148E-9</v>
      </c>
      <c r="BZ46" s="91">
        <f t="shared" si="75"/>
        <v>0</v>
      </c>
      <c r="CA46" s="91">
        <f>Table2[[#This Row],[sed_del_kg_gullied]]-Table2[[#This Row],[sed_del_kg_no_gully]]</f>
        <v>0</v>
      </c>
      <c r="CB46" s="91">
        <f t="shared" si="76"/>
        <v>91.464337377596877</v>
      </c>
      <c r="CC46" s="91">
        <f t="shared" si="77"/>
        <v>78.597200132790618</v>
      </c>
      <c r="CD46" s="91">
        <f>IF(Gullying!$BM46=1,Gullying!$CC46,Gullying!$CB46)</f>
        <v>91.464337377596877</v>
      </c>
    </row>
    <row r="47" spans="1:82" x14ac:dyDescent="0.4">
      <c r="A47" s="21">
        <v>90</v>
      </c>
      <c r="B47" s="21" t="s">
        <v>94</v>
      </c>
      <c r="C47" s="21">
        <v>44.401201999999998</v>
      </c>
      <c r="D47" s="21">
        <v>619982.69999999995</v>
      </c>
      <c r="E47" s="21">
        <v>6081970.5</v>
      </c>
      <c r="F47" s="21">
        <v>816.2</v>
      </c>
      <c r="G47" s="21">
        <v>14</v>
      </c>
      <c r="H47" s="21">
        <v>0</v>
      </c>
      <c r="I47" s="21">
        <v>118.85</v>
      </c>
      <c r="J47" s="21">
        <v>0</v>
      </c>
      <c r="K47" s="21">
        <v>100</v>
      </c>
      <c r="L47" s="21">
        <v>3.2</v>
      </c>
      <c r="M47" s="21">
        <v>100</v>
      </c>
      <c r="N47" s="21">
        <v>0</v>
      </c>
      <c r="O47" s="35">
        <v>7</v>
      </c>
      <c r="P47" s="21">
        <v>90</v>
      </c>
      <c r="Q47" s="4">
        <v>781.16</v>
      </c>
      <c r="R47" s="4">
        <v>30.899999619999999</v>
      </c>
      <c r="S47" s="107">
        <f t="shared" si="18"/>
        <v>380.32</v>
      </c>
      <c r="T47" s="90">
        <f t="shared" si="19"/>
        <v>2.9294544238463396</v>
      </c>
      <c r="U47" s="91">
        <f t="shared" si="20"/>
        <v>488.39549515554648</v>
      </c>
      <c r="V47" s="91">
        <f t="shared" si="21"/>
        <v>381515.02499570668</v>
      </c>
      <c r="W47" s="87">
        <f t="shared" si="22"/>
        <v>3815150249.957067</v>
      </c>
      <c r="X47" s="90">
        <f t="shared" si="23"/>
        <v>3.8151502499570671</v>
      </c>
      <c r="Y47" s="87">
        <f t="shared" si="24"/>
        <v>0.5</v>
      </c>
      <c r="Z47" s="87">
        <f t="shared" si="25"/>
        <v>11.74</v>
      </c>
      <c r="AA47" s="87">
        <f t="shared" si="26"/>
        <v>0.33600000000000002</v>
      </c>
      <c r="AB47" s="90">
        <f t="shared" si="27"/>
        <v>3.6434655277391998</v>
      </c>
      <c r="AC47" s="91">
        <f t="shared" si="28"/>
        <v>0.65970475333919998</v>
      </c>
      <c r="AD47" s="91">
        <f t="shared" si="29"/>
        <v>2.6488786029391997</v>
      </c>
      <c r="AE47" s="91">
        <f t="shared" si="30"/>
        <v>54.218237019928566</v>
      </c>
      <c r="AF47" s="91">
        <f t="shared" si="31"/>
        <v>162.65471105978571</v>
      </c>
      <c r="AG47" s="87">
        <f t="shared" si="32"/>
        <v>0</v>
      </c>
      <c r="AH47" s="87">
        <f>1</f>
        <v>1</v>
      </c>
      <c r="AI47" s="92">
        <f t="shared" si="33"/>
        <v>7</v>
      </c>
      <c r="AJ47" s="87">
        <f t="shared" si="34"/>
        <v>380.32</v>
      </c>
      <c r="AK47" s="87">
        <f t="shared" si="35"/>
        <v>574.38563336875552</v>
      </c>
      <c r="AL47" s="87">
        <f t="shared" si="36"/>
        <v>2.6488786029391997</v>
      </c>
      <c r="AM47" s="111">
        <f t="shared" si="37"/>
        <v>3.8031999999999996E-2</v>
      </c>
      <c r="AN47" s="92">
        <f t="shared" si="38"/>
        <v>0.14509779430636716</v>
      </c>
      <c r="AO47" s="87">
        <f t="shared" si="39"/>
        <v>145097.79430636714</v>
      </c>
      <c r="AP47" s="91">
        <f t="shared" si="40"/>
        <v>39.824116133850595</v>
      </c>
      <c r="AQ47" s="93">
        <f t="shared" si="41"/>
        <v>27.297827225969375</v>
      </c>
      <c r="AR47" s="93">
        <f t="shared" si="42"/>
        <v>81.893481677908113</v>
      </c>
      <c r="AS47" s="91">
        <f t="shared" si="43"/>
        <v>26.013784147955292</v>
      </c>
      <c r="AT47" s="91">
        <f t="shared" si="44"/>
        <v>11.099880556925648</v>
      </c>
      <c r="AU47" s="91">
        <f t="shared" si="45"/>
        <v>68.907356210997719</v>
      </c>
      <c r="AV47" s="91">
        <f t="shared" si="46"/>
        <v>0</v>
      </c>
      <c r="AW47" s="91">
        <f t="shared" si="47"/>
        <v>0</v>
      </c>
      <c r="AX47" s="107">
        <f t="shared" si="48"/>
        <v>380.32</v>
      </c>
      <c r="AY47" s="90">
        <f t="shared" si="49"/>
        <v>2.9294544238463396</v>
      </c>
      <c r="AZ47" s="91">
        <f t="shared" si="50"/>
        <v>488.39549515554648</v>
      </c>
      <c r="BA47" s="91">
        <f t="shared" si="51"/>
        <v>381515.02499570668</v>
      </c>
      <c r="BB47" s="87">
        <f t="shared" si="52"/>
        <v>3815150249.957067</v>
      </c>
      <c r="BC47" s="90">
        <f t="shared" si="53"/>
        <v>3.8151502499570671</v>
      </c>
      <c r="BD47" s="87">
        <f t="shared" si="54"/>
        <v>0.5</v>
      </c>
      <c r="BE47" s="87">
        <f t="shared" si="55"/>
        <v>11.74</v>
      </c>
      <c r="BF47" s="87">
        <f t="shared" si="56"/>
        <v>0.33600000000000002</v>
      </c>
      <c r="BG47" s="90">
        <f t="shared" si="57"/>
        <v>3.6434655277391998</v>
      </c>
      <c r="BH47" s="91">
        <f t="shared" si="58"/>
        <v>0.65970475333919998</v>
      </c>
      <c r="BI47" s="91">
        <f t="shared" si="59"/>
        <v>2.6488786029391997</v>
      </c>
      <c r="BJ47" s="91">
        <f t="shared" si="60"/>
        <v>54.218237019928566</v>
      </c>
      <c r="BK47" s="91">
        <f t="shared" si="61"/>
        <v>162.65471105978571</v>
      </c>
      <c r="BL47" s="87">
        <f t="shared" si="62"/>
        <v>0</v>
      </c>
      <c r="BM47" s="87">
        <f>0</f>
        <v>0</v>
      </c>
      <c r="BN47" s="92">
        <f t="shared" si="63"/>
        <v>7</v>
      </c>
      <c r="BO47" s="87">
        <f t="shared" si="64"/>
        <v>380.32</v>
      </c>
      <c r="BP47" s="87">
        <f t="shared" si="65"/>
        <v>574.38563336875552</v>
      </c>
      <c r="BQ47" s="87">
        <f t="shared" si="66"/>
        <v>0.65970475333919998</v>
      </c>
      <c r="BR47" s="111">
        <f t="shared" si="67"/>
        <v>3.8031999999999996E-2</v>
      </c>
      <c r="BS47" s="92">
        <f t="shared" si="68"/>
        <v>0.14509779430636716</v>
      </c>
      <c r="BT47" s="87">
        <f t="shared" si="69"/>
        <v>145097.79430636714</v>
      </c>
      <c r="BU47" s="91">
        <f t="shared" si="70"/>
        <v>39.824116133850595</v>
      </c>
      <c r="BV47" s="93">
        <f t="shared" si="71"/>
        <v>27.297827225969375</v>
      </c>
      <c r="BW47" s="93">
        <f t="shared" si="72"/>
        <v>81.893481677908113</v>
      </c>
      <c r="BX47" s="91">
        <f t="shared" si="73"/>
        <v>26.013784147955292</v>
      </c>
      <c r="BY47" s="91">
        <f t="shared" si="74"/>
        <v>11.099880556925648</v>
      </c>
      <c r="BZ47" s="91">
        <f t="shared" si="75"/>
        <v>7.3226439649012161</v>
      </c>
      <c r="CA47" s="91">
        <f>Table2[[#This Row],[sed_del_kg_gullied]]-Table2[[#This Row],[sed_del_kg_no_gully]]</f>
        <v>61.584712246096501</v>
      </c>
      <c r="CB47" s="91">
        <f t="shared" si="76"/>
        <v>0</v>
      </c>
      <c r="CC47" s="91">
        <f t="shared" si="77"/>
        <v>0</v>
      </c>
      <c r="CD47" s="91">
        <f>IF(Gullying!$BM47=1,Gullying!$CC47,Gullying!$CB47)</f>
        <v>0</v>
      </c>
    </row>
    <row r="48" spans="1:82" x14ac:dyDescent="0.4">
      <c r="A48" s="21">
        <v>101</v>
      </c>
      <c r="B48" s="21" t="s">
        <v>94</v>
      </c>
      <c r="C48" s="21">
        <v>56.040238000000002</v>
      </c>
      <c r="D48" s="21">
        <v>620239.6</v>
      </c>
      <c r="E48" s="21">
        <v>6082171</v>
      </c>
      <c r="F48" s="21">
        <v>817.7</v>
      </c>
      <c r="G48" s="21">
        <v>16</v>
      </c>
      <c r="H48" s="21">
        <v>0</v>
      </c>
      <c r="I48" s="21">
        <v>52.95</v>
      </c>
      <c r="J48" s="21">
        <v>0</v>
      </c>
      <c r="K48" s="21">
        <v>100</v>
      </c>
      <c r="L48" s="21">
        <v>3.6</v>
      </c>
      <c r="M48" s="21">
        <v>100</v>
      </c>
      <c r="N48" s="21">
        <v>1</v>
      </c>
      <c r="O48" s="35">
        <v>12</v>
      </c>
      <c r="P48" s="21">
        <v>90</v>
      </c>
      <c r="Q48" s="4">
        <v>781.16</v>
      </c>
      <c r="R48" s="4">
        <v>30.899999619999999</v>
      </c>
      <c r="S48" s="107">
        <f t="shared" si="18"/>
        <v>190.62</v>
      </c>
      <c r="T48" s="90">
        <f t="shared" si="19"/>
        <v>3.1430387596364455</v>
      </c>
      <c r="U48" s="91">
        <f t="shared" si="20"/>
        <v>506.48395255361049</v>
      </c>
      <c r="V48" s="91">
        <f t="shared" si="21"/>
        <v>395645.00437677838</v>
      </c>
      <c r="W48" s="87">
        <f t="shared" si="22"/>
        <v>3956450043.7677836</v>
      </c>
      <c r="X48" s="90">
        <f t="shared" si="23"/>
        <v>3.9564500437677834</v>
      </c>
      <c r="Y48" s="87">
        <f t="shared" si="24"/>
        <v>0.5</v>
      </c>
      <c r="Z48" s="87">
        <f t="shared" si="25"/>
        <v>11.74</v>
      </c>
      <c r="AA48" s="87">
        <f t="shared" si="26"/>
        <v>0.33600000000000002</v>
      </c>
      <c r="AB48" s="90">
        <f t="shared" si="27"/>
        <v>1.8261395637822002</v>
      </c>
      <c r="AC48" s="91">
        <f t="shared" si="28"/>
        <v>0</v>
      </c>
      <c r="AD48" s="91">
        <f t="shared" si="29"/>
        <v>0.57083823258220001</v>
      </c>
      <c r="AE48" s="91">
        <f t="shared" si="30"/>
        <v>27.174695889616071</v>
      </c>
      <c r="AF48" s="91">
        <f t="shared" si="31"/>
        <v>81.52408766884821</v>
      </c>
      <c r="AG48" s="87">
        <f t="shared" si="32"/>
        <v>0</v>
      </c>
      <c r="AH48" s="87">
        <f>1</f>
        <v>1</v>
      </c>
      <c r="AI48" s="92">
        <f t="shared" si="33"/>
        <v>12</v>
      </c>
      <c r="AJ48" s="87">
        <f t="shared" si="34"/>
        <v>190.62</v>
      </c>
      <c r="AK48" s="87">
        <f t="shared" si="35"/>
        <v>336.68140413208914</v>
      </c>
      <c r="AL48" s="87">
        <f t="shared" si="36"/>
        <v>0.57083823258220001</v>
      </c>
      <c r="AM48" s="111">
        <f t="shared" si="37"/>
        <v>1.9061999999999999E-2</v>
      </c>
      <c r="AN48" s="92">
        <f t="shared" si="38"/>
        <v>7.5417850734301489E-2</v>
      </c>
      <c r="AO48" s="87">
        <f t="shared" si="39"/>
        <v>75417.850734301494</v>
      </c>
      <c r="AP48" s="91">
        <f t="shared" si="40"/>
        <v>41.299061818747397</v>
      </c>
      <c r="AQ48" s="93">
        <f t="shared" si="41"/>
        <v>68.740711613524709</v>
      </c>
      <c r="AR48" s="93">
        <f t="shared" si="42"/>
        <v>206.22213484057411</v>
      </c>
      <c r="AS48" s="91">
        <f t="shared" si="43"/>
        <v>14.132607021836497</v>
      </c>
      <c r="AT48" s="91">
        <f t="shared" si="44"/>
        <v>1.6549560952758742</v>
      </c>
      <c r="AU48" s="91">
        <f t="shared" si="45"/>
        <v>8.0674324141239353</v>
      </c>
      <c r="AV48" s="91">
        <f t="shared" si="46"/>
        <v>28.865542110383931</v>
      </c>
      <c r="AW48" s="91">
        <f t="shared" si="47"/>
        <v>0</v>
      </c>
      <c r="AX48" s="107">
        <f t="shared" si="48"/>
        <v>190.62</v>
      </c>
      <c r="AY48" s="90">
        <f t="shared" si="49"/>
        <v>3.1430387596364455</v>
      </c>
      <c r="AZ48" s="91">
        <f t="shared" si="50"/>
        <v>506.48395255361049</v>
      </c>
      <c r="BA48" s="91">
        <f t="shared" si="51"/>
        <v>395645.00437677838</v>
      </c>
      <c r="BB48" s="87">
        <f t="shared" si="52"/>
        <v>3956450043.7677836</v>
      </c>
      <c r="BC48" s="90">
        <f t="shared" si="53"/>
        <v>3.9564500437677834</v>
      </c>
      <c r="BD48" s="87">
        <f t="shared" si="54"/>
        <v>0.5</v>
      </c>
      <c r="BE48" s="87">
        <f t="shared" si="55"/>
        <v>11.74</v>
      </c>
      <c r="BF48" s="87">
        <f t="shared" si="56"/>
        <v>0.33600000000000002</v>
      </c>
      <c r="BG48" s="90">
        <f t="shared" si="57"/>
        <v>1.8261395637822002</v>
      </c>
      <c r="BH48" s="91">
        <f t="shared" si="58"/>
        <v>0</v>
      </c>
      <c r="BI48" s="91">
        <f t="shared" si="59"/>
        <v>0.57083823258220001</v>
      </c>
      <c r="BJ48" s="91">
        <f t="shared" si="60"/>
        <v>27.174695889616071</v>
      </c>
      <c r="BK48" s="91">
        <f t="shared" si="61"/>
        <v>81.52408766884821</v>
      </c>
      <c r="BL48" s="87">
        <f t="shared" si="62"/>
        <v>0</v>
      </c>
      <c r="BM48" s="87">
        <f>0</f>
        <v>0</v>
      </c>
      <c r="BN48" s="92">
        <f t="shared" si="63"/>
        <v>12</v>
      </c>
      <c r="BO48" s="87">
        <f t="shared" si="64"/>
        <v>190.62</v>
      </c>
      <c r="BP48" s="87">
        <f t="shared" si="65"/>
        <v>336.68140413208914</v>
      </c>
      <c r="BQ48" s="87">
        <f t="shared" si="66"/>
        <v>0</v>
      </c>
      <c r="BR48" s="111">
        <f t="shared" si="67"/>
        <v>1.9061999999999999E-2</v>
      </c>
      <c r="BS48" s="92">
        <f t="shared" si="68"/>
        <v>7.5417850734301489E-2</v>
      </c>
      <c r="BT48" s="87">
        <f t="shared" si="69"/>
        <v>75417.850734301494</v>
      </c>
      <c r="BU48" s="91">
        <f t="shared" si="70"/>
        <v>41.299061818747397</v>
      </c>
      <c r="BV48" s="93">
        <f t="shared" si="71"/>
        <v>68.740711613524709</v>
      </c>
      <c r="BW48" s="93">
        <f t="shared" si="72"/>
        <v>206.22213484057411</v>
      </c>
      <c r="BX48" s="91">
        <f t="shared" si="73"/>
        <v>14.132607021836497</v>
      </c>
      <c r="BY48" s="91">
        <f t="shared" si="74"/>
        <v>1.6549560952758742</v>
      </c>
      <c r="BZ48" s="91">
        <f t="shared" si="75"/>
        <v>0</v>
      </c>
      <c r="CA48" s="91">
        <f>Table2[[#This Row],[sed_del_kg_gullied]]-Table2[[#This Row],[sed_del_kg_no_gully]]</f>
        <v>8.0674324141239353</v>
      </c>
      <c r="CB48" s="91">
        <f t="shared" si="76"/>
        <v>28.865542110383931</v>
      </c>
      <c r="CC48" s="91">
        <f t="shared" si="77"/>
        <v>0</v>
      </c>
      <c r="CD48" s="91">
        <f>IF(Gullying!$BM48=1,Gullying!$CC48,Gullying!$CB48)</f>
        <v>28.865542110383931</v>
      </c>
    </row>
    <row r="49" spans="1:82" x14ac:dyDescent="0.4">
      <c r="A49" s="21">
        <v>100</v>
      </c>
      <c r="B49" s="21" t="s">
        <v>94</v>
      </c>
      <c r="C49" s="21">
        <v>112.282453</v>
      </c>
      <c r="D49" s="21">
        <v>620213.9</v>
      </c>
      <c r="E49" s="21">
        <v>6082124.7000000002</v>
      </c>
      <c r="F49" s="21">
        <v>828.2</v>
      </c>
      <c r="G49" s="21">
        <v>14</v>
      </c>
      <c r="H49" s="21">
        <v>0</v>
      </c>
      <c r="I49" s="21">
        <v>57.7</v>
      </c>
      <c r="J49" s="21">
        <v>0</v>
      </c>
      <c r="K49" s="21">
        <v>100</v>
      </c>
      <c r="L49" s="21">
        <v>3.5</v>
      </c>
      <c r="M49" s="21">
        <v>100</v>
      </c>
      <c r="N49" s="21">
        <v>1</v>
      </c>
      <c r="O49" s="35">
        <v>5</v>
      </c>
      <c r="P49" s="21">
        <v>90</v>
      </c>
      <c r="Q49" s="4">
        <v>781.16</v>
      </c>
      <c r="R49" s="4">
        <v>30.899999619999999</v>
      </c>
      <c r="S49" s="107">
        <f t="shared" si="18"/>
        <v>201.95000000000002</v>
      </c>
      <c r="T49" s="90">
        <f t="shared" si="19"/>
        <v>2.9294544238463396</v>
      </c>
      <c r="U49" s="91">
        <f t="shared" si="20"/>
        <v>488.39549515554648</v>
      </c>
      <c r="V49" s="91">
        <f t="shared" si="21"/>
        <v>381515.02499570668</v>
      </c>
      <c r="W49" s="87">
        <f t="shared" si="22"/>
        <v>3815150249.957067</v>
      </c>
      <c r="X49" s="90">
        <f t="shared" si="23"/>
        <v>3.8151502499570671</v>
      </c>
      <c r="Y49" s="87">
        <f t="shared" si="24"/>
        <v>0.5</v>
      </c>
      <c r="Z49" s="87">
        <f t="shared" si="25"/>
        <v>11.74</v>
      </c>
      <c r="AA49" s="87">
        <f t="shared" si="26"/>
        <v>0.33600000000000002</v>
      </c>
      <c r="AB49" s="90">
        <f t="shared" si="27"/>
        <v>1.9346809616295002</v>
      </c>
      <c r="AC49" s="91">
        <f t="shared" si="28"/>
        <v>0</v>
      </c>
      <c r="AD49" s="91">
        <f t="shared" si="29"/>
        <v>0</v>
      </c>
      <c r="AE49" s="91">
        <f t="shared" si="30"/>
        <v>28.789895262343752</v>
      </c>
      <c r="AF49" s="91">
        <f t="shared" si="31"/>
        <v>86.369685787031258</v>
      </c>
      <c r="AG49" s="87">
        <f t="shared" si="32"/>
        <v>0</v>
      </c>
      <c r="AH49" s="87">
        <f>1</f>
        <v>1</v>
      </c>
      <c r="AI49" s="92">
        <f t="shared" si="33"/>
        <v>5</v>
      </c>
      <c r="AJ49" s="87">
        <f t="shared" si="34"/>
        <v>201.95000000000002</v>
      </c>
      <c r="AK49" s="87">
        <f t="shared" si="35"/>
        <v>803.15992719688995</v>
      </c>
      <c r="AL49" s="87">
        <f t="shared" si="36"/>
        <v>0</v>
      </c>
      <c r="AM49" s="111">
        <f t="shared" si="37"/>
        <v>2.0195000000000001E-2</v>
      </c>
      <c r="AN49" s="92">
        <f t="shared" si="38"/>
        <v>7.704695929788298E-2</v>
      </c>
      <c r="AO49" s="87">
        <f t="shared" si="39"/>
        <v>77046.959297882975</v>
      </c>
      <c r="AP49" s="91">
        <f t="shared" si="40"/>
        <v>39.824116133850602</v>
      </c>
      <c r="AQ49" s="93">
        <f t="shared" si="41"/>
        <v>130.00215524329215</v>
      </c>
      <c r="AR49" s="93">
        <f t="shared" si="42"/>
        <v>390.00646572987642</v>
      </c>
      <c r="AS49" s="91">
        <f t="shared" si="43"/>
        <v>5.2406159545508908</v>
      </c>
      <c r="AT49" s="91">
        <f t="shared" si="44"/>
        <v>9.0751688169847161E-2</v>
      </c>
      <c r="AU49" s="91">
        <f t="shared" si="45"/>
        <v>0</v>
      </c>
      <c r="AV49" s="91">
        <f t="shared" si="46"/>
        <v>83.492557737656256</v>
      </c>
      <c r="AW49" s="91">
        <f t="shared" si="47"/>
        <v>25.912767212968745</v>
      </c>
      <c r="AX49" s="107">
        <f t="shared" si="48"/>
        <v>201.95000000000002</v>
      </c>
      <c r="AY49" s="90">
        <f t="shared" si="49"/>
        <v>2.9294544238463396</v>
      </c>
      <c r="AZ49" s="91">
        <f t="shared" si="50"/>
        <v>488.39549515554648</v>
      </c>
      <c r="BA49" s="91">
        <f t="shared" si="51"/>
        <v>381515.02499570668</v>
      </c>
      <c r="BB49" s="87">
        <f t="shared" si="52"/>
        <v>3815150249.957067</v>
      </c>
      <c r="BC49" s="90">
        <f t="shared" si="53"/>
        <v>3.8151502499570671</v>
      </c>
      <c r="BD49" s="87">
        <f t="shared" si="54"/>
        <v>0.5</v>
      </c>
      <c r="BE49" s="87">
        <f t="shared" si="55"/>
        <v>11.74</v>
      </c>
      <c r="BF49" s="87">
        <f t="shared" si="56"/>
        <v>0.33600000000000002</v>
      </c>
      <c r="BG49" s="90">
        <f t="shared" si="57"/>
        <v>1.9346809616295002</v>
      </c>
      <c r="BH49" s="91">
        <f t="shared" si="58"/>
        <v>0</v>
      </c>
      <c r="BI49" s="91">
        <f t="shared" si="59"/>
        <v>0</v>
      </c>
      <c r="BJ49" s="91">
        <f t="shared" si="60"/>
        <v>28.789895262343752</v>
      </c>
      <c r="BK49" s="91">
        <f t="shared" si="61"/>
        <v>86.369685787031258</v>
      </c>
      <c r="BL49" s="87">
        <f t="shared" si="62"/>
        <v>0</v>
      </c>
      <c r="BM49" s="87">
        <f>0</f>
        <v>0</v>
      </c>
      <c r="BN49" s="92">
        <f t="shared" si="63"/>
        <v>5</v>
      </c>
      <c r="BO49" s="87">
        <f t="shared" si="64"/>
        <v>201.95000000000002</v>
      </c>
      <c r="BP49" s="87">
        <f t="shared" si="65"/>
        <v>803.15992719688995</v>
      </c>
      <c r="BQ49" s="87">
        <f t="shared" si="66"/>
        <v>0</v>
      </c>
      <c r="BR49" s="111">
        <f t="shared" si="67"/>
        <v>2.0195000000000001E-2</v>
      </c>
      <c r="BS49" s="92">
        <f t="shared" si="68"/>
        <v>7.704695929788298E-2</v>
      </c>
      <c r="BT49" s="87">
        <f t="shared" si="69"/>
        <v>77046.959297882975</v>
      </c>
      <c r="BU49" s="91">
        <f t="shared" si="70"/>
        <v>39.824116133850602</v>
      </c>
      <c r="BV49" s="93">
        <f t="shared" si="71"/>
        <v>130.00215524329215</v>
      </c>
      <c r="BW49" s="93">
        <f t="shared" si="72"/>
        <v>390.00646572987642</v>
      </c>
      <c r="BX49" s="91">
        <f t="shared" si="73"/>
        <v>5.2406159545508908</v>
      </c>
      <c r="BY49" s="91">
        <f t="shared" si="74"/>
        <v>9.0751688169847161E-2</v>
      </c>
      <c r="BZ49" s="91">
        <f t="shared" si="75"/>
        <v>0</v>
      </c>
      <c r="CA49" s="91">
        <f>Table2[[#This Row],[sed_del_kg_gullied]]-Table2[[#This Row],[sed_del_kg_no_gully]]</f>
        <v>0</v>
      </c>
      <c r="CB49" s="91">
        <f t="shared" si="76"/>
        <v>83.492557737656256</v>
      </c>
      <c r="CC49" s="91">
        <f t="shared" si="77"/>
        <v>25.912767212968745</v>
      </c>
      <c r="CD49" s="91">
        <f>IF(Gullying!$BM49=1,Gullying!$CC49,Gullying!$CB49)</f>
        <v>83.492557737656256</v>
      </c>
    </row>
    <row r="50" spans="1:82" x14ac:dyDescent="0.4">
      <c r="A50" s="21">
        <v>91</v>
      </c>
      <c r="B50" s="21" t="s">
        <v>94</v>
      </c>
      <c r="C50" s="21">
        <v>61.332389999999997</v>
      </c>
      <c r="D50" s="21">
        <v>619988.69999999995</v>
      </c>
      <c r="E50" s="21">
        <v>6082088.5</v>
      </c>
      <c r="F50" s="21">
        <v>828.3</v>
      </c>
      <c r="G50" s="21">
        <v>2</v>
      </c>
      <c r="H50" s="21">
        <v>0</v>
      </c>
      <c r="I50" s="21">
        <v>19.29</v>
      </c>
      <c r="J50" s="21">
        <v>0</v>
      </c>
      <c r="K50" s="21">
        <v>100</v>
      </c>
      <c r="L50" s="21">
        <v>3.1</v>
      </c>
      <c r="M50" s="21">
        <v>100</v>
      </c>
      <c r="N50" s="21">
        <v>0</v>
      </c>
      <c r="O50" s="35">
        <v>13</v>
      </c>
      <c r="P50" s="21">
        <v>90</v>
      </c>
      <c r="Q50" s="4">
        <v>781.16</v>
      </c>
      <c r="R50" s="4">
        <v>30.899999619999999</v>
      </c>
      <c r="S50" s="107">
        <f t="shared" si="18"/>
        <v>59.798999999999999</v>
      </c>
      <c r="T50" s="90">
        <f t="shared" si="19"/>
        <v>1.6018257472049382</v>
      </c>
      <c r="U50" s="91">
        <f t="shared" si="20"/>
        <v>375.95862253078622</v>
      </c>
      <c r="V50" s="91">
        <f t="shared" si="21"/>
        <v>293683.83757614897</v>
      </c>
      <c r="W50" s="87">
        <f t="shared" si="22"/>
        <v>2936838375.7614899</v>
      </c>
      <c r="X50" s="90">
        <f t="shared" si="23"/>
        <v>2.9368383757614898</v>
      </c>
      <c r="Y50" s="87">
        <f t="shared" si="24"/>
        <v>0.5</v>
      </c>
      <c r="Z50" s="87">
        <f t="shared" si="25"/>
        <v>11.74</v>
      </c>
      <c r="AA50" s="87">
        <f t="shared" si="26"/>
        <v>0.33600000000000002</v>
      </c>
      <c r="AB50" s="90">
        <f t="shared" si="27"/>
        <v>0.57287440863819006</v>
      </c>
      <c r="AC50" s="91">
        <f t="shared" si="28"/>
        <v>0</v>
      </c>
      <c r="AD50" s="91">
        <f t="shared" si="29"/>
        <v>0</v>
      </c>
      <c r="AE50" s="91">
        <f t="shared" si="30"/>
        <v>8.5249167952111602</v>
      </c>
      <c r="AF50" s="91">
        <f t="shared" si="31"/>
        <v>25.574750385633479</v>
      </c>
      <c r="AG50" s="87">
        <f t="shared" si="32"/>
        <v>0</v>
      </c>
      <c r="AH50" s="87">
        <f>1</f>
        <v>1</v>
      </c>
      <c r="AI50" s="92">
        <f t="shared" si="33"/>
        <v>13</v>
      </c>
      <c r="AJ50" s="87">
        <f t="shared" si="34"/>
        <v>59.798999999999999</v>
      </c>
      <c r="AK50" s="87">
        <f t="shared" si="35"/>
        <v>311.17880378100608</v>
      </c>
      <c r="AL50" s="87">
        <f t="shared" si="36"/>
        <v>0</v>
      </c>
      <c r="AM50" s="111">
        <f t="shared" si="37"/>
        <v>5.9798999999999998E-3</v>
      </c>
      <c r="AN50" s="92">
        <f t="shared" si="38"/>
        <v>1.7561999803216131E-2</v>
      </c>
      <c r="AO50" s="87">
        <f t="shared" si="39"/>
        <v>17561.999803216131</v>
      </c>
      <c r="AP50" s="91">
        <f t="shared" si="40"/>
        <v>30.655933549141576</v>
      </c>
      <c r="AQ50" s="93">
        <f t="shared" si="41"/>
        <v>239.81618227035847</v>
      </c>
      <c r="AR50" s="93">
        <f t="shared" si="42"/>
        <v>719.44854681107552</v>
      </c>
      <c r="AS50" s="91">
        <f t="shared" si="43"/>
        <v>0.72738002381029199</v>
      </c>
      <c r="AT50" s="91">
        <f t="shared" si="44"/>
        <v>4.0950104773767839E-4</v>
      </c>
      <c r="AU50" s="91">
        <f t="shared" si="45"/>
        <v>0</v>
      </c>
      <c r="AV50" s="91">
        <f t="shared" si="46"/>
        <v>52.807473204788835</v>
      </c>
      <c r="AW50" s="91">
        <f t="shared" si="47"/>
        <v>35.757639614366518</v>
      </c>
      <c r="AX50" s="107">
        <f t="shared" si="48"/>
        <v>59.798999999999999</v>
      </c>
      <c r="AY50" s="90">
        <f t="shared" si="49"/>
        <v>1.6018257472049382</v>
      </c>
      <c r="AZ50" s="91">
        <f t="shared" si="50"/>
        <v>375.95862253078622</v>
      </c>
      <c r="BA50" s="91">
        <f t="shared" si="51"/>
        <v>293683.83757614897</v>
      </c>
      <c r="BB50" s="87">
        <f t="shared" si="52"/>
        <v>2936838375.7614899</v>
      </c>
      <c r="BC50" s="90">
        <f t="shared" si="53"/>
        <v>2.9368383757614898</v>
      </c>
      <c r="BD50" s="87">
        <f t="shared" si="54"/>
        <v>0.5</v>
      </c>
      <c r="BE50" s="87">
        <f t="shared" si="55"/>
        <v>11.74</v>
      </c>
      <c r="BF50" s="87">
        <f t="shared" si="56"/>
        <v>0.33600000000000002</v>
      </c>
      <c r="BG50" s="90">
        <f t="shared" si="57"/>
        <v>0.57287440863819006</v>
      </c>
      <c r="BH50" s="91">
        <f t="shared" si="58"/>
        <v>0</v>
      </c>
      <c r="BI50" s="91">
        <f t="shared" si="59"/>
        <v>0</v>
      </c>
      <c r="BJ50" s="91">
        <f t="shared" si="60"/>
        <v>8.5249167952111602</v>
      </c>
      <c r="BK50" s="91">
        <f t="shared" si="61"/>
        <v>25.574750385633479</v>
      </c>
      <c r="BL50" s="87">
        <f t="shared" si="62"/>
        <v>0</v>
      </c>
      <c r="BM50" s="87">
        <f>0</f>
        <v>0</v>
      </c>
      <c r="BN50" s="92">
        <f t="shared" si="63"/>
        <v>13</v>
      </c>
      <c r="BO50" s="87">
        <f t="shared" si="64"/>
        <v>59.798999999999999</v>
      </c>
      <c r="BP50" s="87">
        <f t="shared" si="65"/>
        <v>311.17880378100608</v>
      </c>
      <c r="BQ50" s="87">
        <f t="shared" si="66"/>
        <v>0</v>
      </c>
      <c r="BR50" s="111">
        <f t="shared" si="67"/>
        <v>5.9798999999999998E-3</v>
      </c>
      <c r="BS50" s="92">
        <f t="shared" si="68"/>
        <v>1.7561999803216131E-2</v>
      </c>
      <c r="BT50" s="87">
        <f t="shared" si="69"/>
        <v>17561.999803216131</v>
      </c>
      <c r="BU50" s="91">
        <f t="shared" si="70"/>
        <v>30.655933549141576</v>
      </c>
      <c r="BV50" s="93">
        <f t="shared" si="71"/>
        <v>239.81618227035847</v>
      </c>
      <c r="BW50" s="93">
        <f t="shared" si="72"/>
        <v>719.44854681107552</v>
      </c>
      <c r="BX50" s="91">
        <f t="shared" si="73"/>
        <v>0.72738002381029199</v>
      </c>
      <c r="BY50" s="91">
        <f t="shared" si="74"/>
        <v>4.0950104773767839E-4</v>
      </c>
      <c r="BZ50" s="91">
        <f t="shared" si="75"/>
        <v>0</v>
      </c>
      <c r="CA50" s="91">
        <f>Table2[[#This Row],[sed_del_kg_gullied]]-Table2[[#This Row],[sed_del_kg_no_gully]]</f>
        <v>0</v>
      </c>
      <c r="CB50" s="91">
        <f t="shared" si="76"/>
        <v>52.807473204788835</v>
      </c>
      <c r="CC50" s="91">
        <f t="shared" si="77"/>
        <v>35.757639614366518</v>
      </c>
      <c r="CD50" s="91">
        <f>IF(Gullying!$BM50=1,Gullying!$CC50,Gullying!$CB50)</f>
        <v>52.807473204788835</v>
      </c>
    </row>
    <row r="51" spans="1:82" x14ac:dyDescent="0.4">
      <c r="A51" s="21">
        <v>98</v>
      </c>
      <c r="B51" s="21" t="s">
        <v>94</v>
      </c>
      <c r="C51" s="21">
        <v>103.495987</v>
      </c>
      <c r="D51" s="21">
        <v>620124.19999999995</v>
      </c>
      <c r="E51" s="21">
        <v>6082077.4000000004</v>
      </c>
      <c r="F51" s="21">
        <v>830.6</v>
      </c>
      <c r="G51" s="21">
        <v>8</v>
      </c>
      <c r="H51" s="21">
        <v>0</v>
      </c>
      <c r="I51" s="21">
        <v>48.57</v>
      </c>
      <c r="J51" s="21">
        <v>0</v>
      </c>
      <c r="K51" s="21">
        <v>100</v>
      </c>
      <c r="L51" s="21">
        <v>3.8</v>
      </c>
      <c r="M51" s="21">
        <v>100</v>
      </c>
      <c r="N51" s="21">
        <v>0</v>
      </c>
      <c r="O51" s="35">
        <v>7</v>
      </c>
      <c r="P51" s="21">
        <v>90</v>
      </c>
      <c r="Q51" s="4">
        <v>781.16</v>
      </c>
      <c r="R51" s="4">
        <v>30.899999619999999</v>
      </c>
      <c r="S51" s="107">
        <f t="shared" si="18"/>
        <v>184.566</v>
      </c>
      <c r="T51" s="113">
        <f t="shared" si="19"/>
        <v>2.2523775068692409</v>
      </c>
      <c r="U51" s="114">
        <f t="shared" si="20"/>
        <v>431.053851056756</v>
      </c>
      <c r="V51" s="114">
        <f t="shared" si="21"/>
        <v>336722.02629149548</v>
      </c>
      <c r="W51" s="113">
        <f t="shared" si="22"/>
        <v>3367220262.9149547</v>
      </c>
      <c r="X51" s="113">
        <f t="shared" si="23"/>
        <v>3.3672202629149548</v>
      </c>
      <c r="Y51" s="115">
        <f t="shared" si="24"/>
        <v>0.5</v>
      </c>
      <c r="Z51" s="115">
        <f t="shared" si="25"/>
        <v>11.74</v>
      </c>
      <c r="AA51" s="113">
        <f t="shared" si="26"/>
        <v>0.33600000000000002</v>
      </c>
      <c r="AB51" s="113">
        <f t="shared" si="27"/>
        <v>1.76814224493246</v>
      </c>
      <c r="AC51" s="114">
        <f t="shared" si="28"/>
        <v>0</v>
      </c>
      <c r="AD51" s="114">
        <f t="shared" si="29"/>
        <v>0</v>
      </c>
      <c r="AE51" s="114">
        <f t="shared" si="30"/>
        <v>26.311640549590177</v>
      </c>
      <c r="AF51" s="114">
        <f t="shared" si="31"/>
        <v>78.934921648770526</v>
      </c>
      <c r="AG51" s="115">
        <f t="shared" si="32"/>
        <v>0</v>
      </c>
      <c r="AH51" s="116">
        <f>1</f>
        <v>1</v>
      </c>
      <c r="AI51" s="116">
        <f t="shared" si="33"/>
        <v>7</v>
      </c>
      <c r="AJ51" s="115">
        <f t="shared" si="34"/>
        <v>184.566</v>
      </c>
      <c r="AK51" s="115">
        <f t="shared" si="35"/>
        <v>574.38563336875552</v>
      </c>
      <c r="AL51" s="115">
        <f t="shared" si="36"/>
        <v>0</v>
      </c>
      <c r="AM51" s="117">
        <f t="shared" si="37"/>
        <v>1.84566E-2</v>
      </c>
      <c r="AN51" s="116">
        <f t="shared" si="38"/>
        <v>6.2147437504516158E-2</v>
      </c>
      <c r="AO51" s="114">
        <f t="shared" si="39"/>
        <v>62147.437504516158</v>
      </c>
      <c r="AP51" s="114">
        <f t="shared" si="40"/>
        <v>35.148437679509257</v>
      </c>
      <c r="AQ51" s="118">
        <f t="shared" si="41"/>
        <v>131.11558843437712</v>
      </c>
      <c r="AR51" s="118">
        <f t="shared" si="42"/>
        <v>393.34676530313129</v>
      </c>
      <c r="AS51" s="114">
        <f t="shared" si="43"/>
        <v>4.5456784501629954</v>
      </c>
      <c r="AT51" s="114">
        <f t="shared" si="44"/>
        <v>7.602984117666442E-2</v>
      </c>
      <c r="AU51" s="114">
        <f t="shared" si="45"/>
        <v>0</v>
      </c>
      <c r="AV51" s="114">
        <f t="shared" si="46"/>
        <v>77.184346450409819</v>
      </c>
      <c r="AW51" s="114">
        <f t="shared" si="47"/>
        <v>24.561065351229473</v>
      </c>
      <c r="AX51" s="107">
        <f t="shared" si="48"/>
        <v>184.566</v>
      </c>
      <c r="AY51" s="113">
        <f t="shared" si="49"/>
        <v>2.2523775068692409</v>
      </c>
      <c r="AZ51" s="114">
        <f t="shared" si="50"/>
        <v>431.053851056756</v>
      </c>
      <c r="BA51" s="114">
        <f t="shared" si="51"/>
        <v>336722.02629149548</v>
      </c>
      <c r="BB51" s="115">
        <f t="shared" si="52"/>
        <v>3367220262.9149547</v>
      </c>
      <c r="BC51" s="113">
        <f t="shared" si="53"/>
        <v>3.3672202629149548</v>
      </c>
      <c r="BD51" s="115">
        <f t="shared" si="54"/>
        <v>0.5</v>
      </c>
      <c r="BE51" s="115">
        <f t="shared" si="55"/>
        <v>11.74</v>
      </c>
      <c r="BF51" s="115">
        <f t="shared" si="56"/>
        <v>0.33600000000000002</v>
      </c>
      <c r="BG51" s="113">
        <f t="shared" si="57"/>
        <v>1.76814224493246</v>
      </c>
      <c r="BH51" s="114">
        <f t="shared" si="58"/>
        <v>0</v>
      </c>
      <c r="BI51" s="114">
        <f t="shared" si="59"/>
        <v>0</v>
      </c>
      <c r="BJ51" s="114">
        <f t="shared" si="60"/>
        <v>26.311640549590177</v>
      </c>
      <c r="BK51" s="114">
        <f t="shared" si="61"/>
        <v>78.934921648770526</v>
      </c>
      <c r="BL51" s="115">
        <f t="shared" si="62"/>
        <v>0</v>
      </c>
      <c r="BM51" s="115">
        <f>0</f>
        <v>0</v>
      </c>
      <c r="BN51" s="116">
        <f t="shared" si="63"/>
        <v>7</v>
      </c>
      <c r="BO51" s="115">
        <f t="shared" si="64"/>
        <v>184.566</v>
      </c>
      <c r="BP51" s="115">
        <f t="shared" si="65"/>
        <v>574.38563336875552</v>
      </c>
      <c r="BQ51" s="115">
        <f t="shared" si="66"/>
        <v>0</v>
      </c>
      <c r="BR51" s="111">
        <f t="shared" si="67"/>
        <v>1.84566E-2</v>
      </c>
      <c r="BS51" s="116">
        <f t="shared" si="68"/>
        <v>6.2147437504516158E-2</v>
      </c>
      <c r="BT51" s="115">
        <f t="shared" si="69"/>
        <v>62147.437504516158</v>
      </c>
      <c r="BU51" s="114">
        <f t="shared" si="70"/>
        <v>35.148437679509257</v>
      </c>
      <c r="BV51" s="118">
        <f t="shared" si="71"/>
        <v>131.11558843437712</v>
      </c>
      <c r="BW51" s="118">
        <f t="shared" si="72"/>
        <v>393.34676530313129</v>
      </c>
      <c r="BX51" s="114">
        <f t="shared" si="73"/>
        <v>4.5456784501629954</v>
      </c>
      <c r="BY51" s="114">
        <f t="shared" si="74"/>
        <v>7.602984117666442E-2</v>
      </c>
      <c r="BZ51" s="114">
        <f t="shared" si="75"/>
        <v>0</v>
      </c>
      <c r="CA51" s="114">
        <f>Table2[[#This Row],[sed_del_kg_gullied]]-Table2[[#This Row],[sed_del_kg_no_gully]]</f>
        <v>0</v>
      </c>
      <c r="CB51" s="114">
        <f t="shared" si="76"/>
        <v>77.184346450409819</v>
      </c>
      <c r="CC51" s="114">
        <f t="shared" si="77"/>
        <v>24.561065351229473</v>
      </c>
      <c r="CD51" s="114">
        <f>IF(Gullying!$BM51=1,Gullying!$CC51,Gullying!$CB51)</f>
        <v>77.184346450409819</v>
      </c>
    </row>
    <row r="52" spans="1:82" x14ac:dyDescent="0.4">
      <c r="O52" s="35"/>
      <c r="Q52" s="4"/>
      <c r="R52" s="4"/>
      <c r="S52" s="4"/>
    </row>
    <row r="53" spans="1:82" x14ac:dyDescent="0.4">
      <c r="O53" s="35"/>
      <c r="Q53" s="4"/>
      <c r="R53" s="4"/>
      <c r="S53" s="4"/>
    </row>
    <row r="57" spans="1:82" x14ac:dyDescent="0.4">
      <c r="Q57" s="4"/>
      <c r="R57" s="4"/>
      <c r="S57" s="4"/>
      <c r="T57" s="5"/>
      <c r="U57" s="8"/>
      <c r="V57" s="8"/>
      <c r="X57" s="5"/>
      <c r="AB57" s="5"/>
      <c r="AC57" s="8"/>
      <c r="AD57" s="8"/>
      <c r="AE57" s="8"/>
      <c r="AF57" s="8"/>
      <c r="AI57" s="9"/>
      <c r="AN57" s="9"/>
      <c r="AP57" s="8"/>
      <c r="AQ57" s="10"/>
      <c r="AR57" s="10"/>
      <c r="AS57" s="8"/>
      <c r="AT57" s="8"/>
      <c r="AU57" s="8"/>
    </row>
    <row r="58" spans="1:82" x14ac:dyDescent="0.4">
      <c r="Q58" s="4"/>
      <c r="R58" s="4"/>
      <c r="S58" s="4"/>
      <c r="T58" s="5"/>
      <c r="U58" s="8"/>
      <c r="V58" s="8"/>
      <c r="X58" s="5"/>
      <c r="AB58" s="5"/>
      <c r="AC58" s="8"/>
      <c r="AD58" s="8"/>
      <c r="AE58" s="8"/>
      <c r="AF58" s="8"/>
      <c r="AI58" s="9"/>
      <c r="AN58" s="9"/>
      <c r="AP58" s="8"/>
      <c r="AQ58" s="10"/>
      <c r="AR58" s="10"/>
      <c r="AS58" s="8"/>
      <c r="AT58" s="8"/>
      <c r="AU58" s="8"/>
    </row>
    <row r="59" spans="1:82" x14ac:dyDescent="0.4">
      <c r="Q59" s="4"/>
      <c r="R59" s="4"/>
      <c r="S59" s="4"/>
      <c r="T59" s="5"/>
      <c r="U59" s="8"/>
      <c r="V59" s="8"/>
      <c r="X59" s="5"/>
      <c r="AB59" s="5"/>
      <c r="AC59" s="8"/>
      <c r="AD59" s="8"/>
      <c r="AE59" s="8"/>
      <c r="AF59" s="8"/>
      <c r="AI59" s="9"/>
      <c r="AN59" s="9"/>
      <c r="AP59" s="8"/>
      <c r="AQ59" s="10"/>
      <c r="AR59" s="10"/>
      <c r="AS59" s="8"/>
      <c r="AT59" s="8"/>
      <c r="AU59" s="8"/>
    </row>
    <row r="60" spans="1:82" x14ac:dyDescent="0.4">
      <c r="Q60" s="4"/>
      <c r="R60" s="4"/>
      <c r="S60" s="4"/>
      <c r="T60" s="5"/>
      <c r="U60" s="8"/>
      <c r="V60" s="8"/>
      <c r="X60" s="5"/>
      <c r="AB60" s="5"/>
      <c r="AC60" s="8"/>
      <c r="AD60" s="8"/>
      <c r="AE60" s="8"/>
      <c r="AF60" s="8"/>
      <c r="AI60" s="9"/>
      <c r="AN60" s="9"/>
      <c r="AP60" s="8"/>
      <c r="AQ60" s="10"/>
      <c r="AR60" s="10"/>
      <c r="AS60" s="8"/>
      <c r="AT60" s="8"/>
      <c r="AU60" s="8"/>
    </row>
    <row r="61" spans="1:82" x14ac:dyDescent="0.4">
      <c r="Q61" s="4"/>
      <c r="R61" s="4"/>
      <c r="S61" s="4"/>
      <c r="T61" s="5"/>
      <c r="U61" s="8"/>
      <c r="V61" s="8"/>
      <c r="X61" s="5"/>
      <c r="AB61" s="5"/>
      <c r="AC61" s="8"/>
      <c r="AD61" s="8"/>
      <c r="AE61" s="8"/>
      <c r="AF61" s="8"/>
      <c r="AI61" s="9"/>
      <c r="AN61" s="9"/>
      <c r="AP61" s="8"/>
      <c r="AQ61" s="10"/>
      <c r="AR61" s="10"/>
      <c r="AS61" s="8"/>
      <c r="AT61" s="8"/>
      <c r="AU61" s="8"/>
    </row>
    <row r="62" spans="1:82" x14ac:dyDescent="0.4">
      <c r="Q62" s="4"/>
      <c r="R62" s="4"/>
      <c r="S62" s="4"/>
      <c r="T62" s="5"/>
      <c r="U62" s="8"/>
      <c r="V62" s="8"/>
      <c r="X62" s="5"/>
      <c r="AB62" s="5"/>
      <c r="AC62" s="8"/>
      <c r="AD62" s="8"/>
      <c r="AE62" s="8"/>
      <c r="AF62" s="8"/>
      <c r="AI62" s="9"/>
      <c r="AN62" s="9"/>
      <c r="AP62" s="8"/>
      <c r="AQ62" s="10"/>
      <c r="AR62" s="10"/>
      <c r="AS62" s="8"/>
      <c r="AT62" s="8"/>
      <c r="AU62" s="8"/>
    </row>
    <row r="63" spans="1:82" x14ac:dyDescent="0.4">
      <c r="Q63" s="4"/>
      <c r="R63" s="4"/>
      <c r="S63" s="4"/>
      <c r="T63" s="5"/>
      <c r="U63" s="8"/>
      <c r="V63" s="8"/>
      <c r="X63" s="5"/>
      <c r="AB63" s="5"/>
      <c r="AC63" s="8"/>
      <c r="AD63" s="8"/>
      <c r="AE63" s="8"/>
      <c r="AF63" s="8"/>
      <c r="AI63" s="9"/>
      <c r="AN63" s="9"/>
      <c r="AP63" s="8"/>
      <c r="AQ63" s="10"/>
      <c r="AR63" s="10"/>
      <c r="AS63" s="8"/>
      <c r="AT63" s="8"/>
      <c r="AU63" s="8"/>
    </row>
    <row r="64" spans="1:82" x14ac:dyDescent="0.4">
      <c r="Q64" s="4"/>
      <c r="R64" s="4"/>
      <c r="S64" s="4"/>
      <c r="T64" s="5"/>
      <c r="U64" s="8"/>
      <c r="V64" s="8"/>
      <c r="X64" s="5"/>
      <c r="AB64" s="5"/>
      <c r="AC64" s="8"/>
      <c r="AD64" s="8"/>
      <c r="AE64" s="8"/>
      <c r="AF64" s="8"/>
      <c r="AI64" s="9"/>
      <c r="AN64" s="9"/>
      <c r="AP64" s="8"/>
      <c r="AQ64" s="10"/>
      <c r="AR64" s="10"/>
      <c r="AS64" s="8"/>
      <c r="AT64" s="8"/>
      <c r="AU64" s="8"/>
    </row>
    <row r="65" spans="17:47" x14ac:dyDescent="0.4">
      <c r="Q65" s="4"/>
      <c r="R65" s="4"/>
      <c r="S65" s="4"/>
      <c r="T65" s="5"/>
      <c r="U65" s="8"/>
      <c r="V65" s="8"/>
      <c r="X65" s="5"/>
      <c r="AB65" s="5"/>
      <c r="AC65" s="8"/>
      <c r="AD65" s="8"/>
      <c r="AE65" s="8"/>
      <c r="AF65" s="8"/>
      <c r="AI65" s="9"/>
      <c r="AN65" s="9"/>
      <c r="AP65" s="8"/>
      <c r="AQ65" s="10"/>
      <c r="AR65" s="10"/>
      <c r="AS65" s="8"/>
      <c r="AT65" s="8"/>
      <c r="AU65" s="8"/>
    </row>
    <row r="66" spans="17:47" x14ac:dyDescent="0.4">
      <c r="Q66" s="4"/>
      <c r="R66" s="4"/>
      <c r="S66" s="4"/>
      <c r="T66" s="5"/>
      <c r="U66" s="8"/>
      <c r="V66" s="8"/>
      <c r="X66" s="5"/>
      <c r="AB66" s="5"/>
      <c r="AC66" s="8"/>
      <c r="AD66" s="8"/>
      <c r="AE66" s="8"/>
      <c r="AF66" s="8"/>
      <c r="AI66" s="9"/>
      <c r="AN66" s="9"/>
      <c r="AP66" s="8"/>
      <c r="AQ66" s="10"/>
      <c r="AR66" s="10"/>
      <c r="AS66" s="8"/>
      <c r="AT66" s="8"/>
      <c r="AU66" s="8"/>
    </row>
    <row r="67" spans="17:47" x14ac:dyDescent="0.4">
      <c r="Q67" s="4"/>
      <c r="R67" s="4"/>
      <c r="S67" s="4"/>
      <c r="T67" s="5"/>
      <c r="U67" s="8"/>
      <c r="V67" s="8"/>
      <c r="X67" s="5"/>
      <c r="AB67" s="5"/>
      <c r="AC67" s="8"/>
      <c r="AD67" s="8"/>
      <c r="AE67" s="8"/>
      <c r="AF67" s="8"/>
      <c r="AI67" s="9"/>
      <c r="AN67" s="9"/>
      <c r="AP67" s="8"/>
      <c r="AQ67" s="10"/>
      <c r="AR67" s="10"/>
      <c r="AS67" s="8"/>
      <c r="AT67" s="8"/>
      <c r="AU67" s="8"/>
    </row>
    <row r="68" spans="17:47" x14ac:dyDescent="0.4">
      <c r="Q68" s="4"/>
      <c r="R68" s="4"/>
      <c r="S68" s="4"/>
      <c r="T68" s="5"/>
      <c r="U68" s="8"/>
      <c r="V68" s="8"/>
      <c r="X68" s="5"/>
      <c r="AB68" s="5"/>
      <c r="AC68" s="8"/>
      <c r="AD68" s="8"/>
      <c r="AE68" s="8"/>
      <c r="AF68" s="8"/>
      <c r="AI68" s="9"/>
      <c r="AN68" s="9"/>
      <c r="AP68" s="8"/>
      <c r="AQ68" s="10"/>
      <c r="AR68" s="10"/>
      <c r="AS68" s="8"/>
      <c r="AT68" s="8"/>
      <c r="AU68" s="8"/>
    </row>
    <row r="69" spans="17:47" x14ac:dyDescent="0.4">
      <c r="Q69" s="4"/>
      <c r="R69" s="4"/>
      <c r="S69" s="4"/>
      <c r="T69" s="5"/>
      <c r="U69" s="8"/>
      <c r="V69" s="8"/>
      <c r="X69" s="5"/>
      <c r="AB69" s="5"/>
      <c r="AC69" s="8"/>
      <c r="AD69" s="8"/>
      <c r="AE69" s="8"/>
      <c r="AF69" s="8"/>
      <c r="AI69" s="9"/>
      <c r="AN69" s="9"/>
      <c r="AP69" s="8"/>
      <c r="AQ69" s="10"/>
      <c r="AR69" s="10"/>
      <c r="AS69" s="8"/>
      <c r="AT69" s="8"/>
      <c r="AU69" s="8"/>
    </row>
    <row r="70" spans="17:47" x14ac:dyDescent="0.4">
      <c r="Q70" s="4"/>
      <c r="R70" s="4"/>
      <c r="S70" s="4"/>
      <c r="T70" s="5"/>
      <c r="U70" s="8"/>
      <c r="V70" s="8"/>
      <c r="X70" s="5"/>
      <c r="AB70" s="5"/>
      <c r="AC70" s="8"/>
      <c r="AD70" s="8"/>
      <c r="AE70" s="8"/>
      <c r="AF70" s="8"/>
      <c r="AI70" s="9"/>
      <c r="AN70" s="9"/>
      <c r="AP70" s="8"/>
      <c r="AQ70" s="10"/>
      <c r="AR70" s="10"/>
      <c r="AS70" s="8"/>
      <c r="AT70" s="8"/>
      <c r="AU70" s="8"/>
    </row>
    <row r="71" spans="17:47" x14ac:dyDescent="0.4">
      <c r="Q71" s="4"/>
      <c r="R71" s="4"/>
      <c r="S71" s="4"/>
      <c r="T71" s="5"/>
      <c r="U71" s="8"/>
      <c r="V71" s="8"/>
      <c r="X71" s="5"/>
      <c r="AB71" s="5"/>
      <c r="AC71" s="8"/>
      <c r="AD71" s="8"/>
      <c r="AE71" s="8"/>
      <c r="AF71" s="8"/>
      <c r="AI71" s="9"/>
      <c r="AN71" s="9"/>
      <c r="AP71" s="8"/>
      <c r="AQ71" s="10"/>
      <c r="AR71" s="10"/>
      <c r="AS71" s="8"/>
      <c r="AT71" s="8"/>
      <c r="AU71" s="8"/>
    </row>
    <row r="72" spans="17:47" x14ac:dyDescent="0.4">
      <c r="Q72" s="4"/>
      <c r="R72" s="4"/>
      <c r="S72" s="4"/>
      <c r="T72" s="5"/>
      <c r="U72" s="8"/>
      <c r="V72" s="8"/>
      <c r="X72" s="5"/>
      <c r="AB72" s="5"/>
      <c r="AC72" s="8"/>
      <c r="AD72" s="8"/>
      <c r="AE72" s="8"/>
      <c r="AF72" s="8"/>
      <c r="AI72" s="9"/>
      <c r="AN72" s="9"/>
      <c r="AP72" s="8"/>
      <c r="AQ72" s="10"/>
      <c r="AR72" s="10"/>
      <c r="AS72" s="8"/>
      <c r="AT72" s="8"/>
      <c r="AU72" s="8"/>
    </row>
    <row r="73" spans="17:47" x14ac:dyDescent="0.4">
      <c r="Q73" s="4"/>
      <c r="R73" s="4"/>
      <c r="S73" s="4"/>
      <c r="T73" s="5"/>
      <c r="U73" s="8"/>
      <c r="V73" s="8"/>
      <c r="X73" s="5"/>
      <c r="AB73" s="5"/>
      <c r="AC73" s="8"/>
      <c r="AD73" s="8"/>
      <c r="AE73" s="8"/>
      <c r="AF73" s="8"/>
      <c r="AI73" s="9"/>
      <c r="AN73" s="9"/>
      <c r="AP73" s="8"/>
      <c r="AQ73" s="10"/>
      <c r="AR73" s="10"/>
      <c r="AS73" s="8"/>
      <c r="AT73" s="8"/>
      <c r="AU73" s="8"/>
    </row>
    <row r="74" spans="17:47" x14ac:dyDescent="0.4">
      <c r="Q74" s="4"/>
      <c r="R74" s="4"/>
      <c r="S74" s="4"/>
      <c r="T74" s="5"/>
      <c r="U74" s="8"/>
      <c r="V74" s="8"/>
      <c r="X74" s="5"/>
      <c r="AB74" s="5"/>
      <c r="AC74" s="8"/>
      <c r="AD74" s="8"/>
      <c r="AE74" s="8"/>
      <c r="AF74" s="8"/>
      <c r="AI74" s="9"/>
      <c r="AN74" s="9"/>
      <c r="AP74" s="8"/>
      <c r="AQ74" s="10"/>
      <c r="AR74" s="10"/>
      <c r="AS74" s="8"/>
      <c r="AT74" s="8"/>
      <c r="AU74" s="8"/>
    </row>
    <row r="75" spans="17:47" x14ac:dyDescent="0.4">
      <c r="Q75" s="4"/>
      <c r="R75" s="4"/>
      <c r="S75" s="4"/>
      <c r="T75" s="5"/>
      <c r="U75" s="8"/>
      <c r="V75" s="8"/>
      <c r="X75" s="5"/>
      <c r="AB75" s="5"/>
      <c r="AC75" s="8"/>
      <c r="AD75" s="8"/>
      <c r="AE75" s="8"/>
      <c r="AF75" s="8"/>
      <c r="AI75" s="9"/>
      <c r="AN75" s="9"/>
      <c r="AP75" s="8"/>
      <c r="AQ75" s="10"/>
      <c r="AR75" s="10"/>
      <c r="AS75" s="8"/>
      <c r="AT75" s="8"/>
      <c r="AU75" s="8"/>
    </row>
    <row r="76" spans="17:47" x14ac:dyDescent="0.4">
      <c r="Q76" s="4"/>
      <c r="R76" s="4"/>
      <c r="S76" s="4"/>
      <c r="T76" s="5"/>
      <c r="U76" s="8"/>
      <c r="V76" s="8"/>
      <c r="X76" s="5"/>
      <c r="AB76" s="5"/>
      <c r="AC76" s="8"/>
      <c r="AD76" s="8"/>
      <c r="AE76" s="8"/>
      <c r="AF76" s="8"/>
      <c r="AI76" s="9"/>
      <c r="AN76" s="9"/>
      <c r="AP76" s="8"/>
      <c r="AQ76" s="10"/>
      <c r="AR76" s="10"/>
      <c r="AS76" s="8"/>
      <c r="AT76" s="8"/>
      <c r="AU76" s="8"/>
    </row>
    <row r="77" spans="17:47" x14ac:dyDescent="0.4">
      <c r="Q77" s="4"/>
      <c r="R77" s="4"/>
      <c r="S77" s="4"/>
      <c r="T77" s="5"/>
      <c r="U77" s="8"/>
      <c r="V77" s="8"/>
      <c r="X77" s="5"/>
      <c r="AB77" s="5"/>
      <c r="AC77" s="8"/>
      <c r="AD77" s="8"/>
      <c r="AE77" s="8"/>
      <c r="AF77" s="8"/>
      <c r="AI77" s="9"/>
      <c r="AN77" s="9"/>
      <c r="AP77" s="8"/>
      <c r="AQ77" s="10"/>
      <c r="AR77" s="10"/>
      <c r="AS77" s="8"/>
      <c r="AT77" s="8"/>
      <c r="AU77" s="8"/>
    </row>
    <row r="78" spans="17:47" x14ac:dyDescent="0.4">
      <c r="Q78" s="4"/>
      <c r="R78" s="4"/>
      <c r="S78" s="4"/>
      <c r="T78" s="5"/>
      <c r="U78" s="8"/>
      <c r="V78" s="8"/>
      <c r="X78" s="5"/>
      <c r="AB78" s="5"/>
      <c r="AC78" s="8"/>
      <c r="AD78" s="8"/>
      <c r="AE78" s="8"/>
      <c r="AF78" s="8"/>
      <c r="AI78" s="9"/>
      <c r="AN78" s="9"/>
      <c r="AP78" s="8"/>
      <c r="AQ78" s="10"/>
      <c r="AR78" s="10"/>
      <c r="AS78" s="8"/>
      <c r="AT78" s="8"/>
      <c r="AU78" s="8"/>
    </row>
    <row r="79" spans="17:47" x14ac:dyDescent="0.4">
      <c r="Q79" s="4"/>
      <c r="R79" s="4"/>
      <c r="S79" s="4"/>
      <c r="T79" s="5"/>
      <c r="U79" s="8"/>
      <c r="V79" s="8"/>
      <c r="X79" s="5"/>
      <c r="AB79" s="5"/>
      <c r="AC79" s="8"/>
      <c r="AD79" s="8"/>
      <c r="AE79" s="8"/>
      <c r="AF79" s="8"/>
      <c r="AI79" s="9"/>
      <c r="AN79" s="9"/>
      <c r="AP79" s="8"/>
      <c r="AQ79" s="10"/>
      <c r="AR79" s="10"/>
      <c r="AS79" s="8"/>
      <c r="AT79" s="8"/>
      <c r="AU79" s="8"/>
    </row>
    <row r="80" spans="17:47" x14ac:dyDescent="0.4">
      <c r="Q80" s="4"/>
      <c r="R80" s="4"/>
      <c r="S80" s="4"/>
      <c r="T80" s="5"/>
      <c r="U80" s="8"/>
      <c r="V80" s="8"/>
      <c r="X80" s="5"/>
      <c r="AB80" s="5"/>
      <c r="AC80" s="8"/>
      <c r="AD80" s="8"/>
      <c r="AE80" s="8"/>
      <c r="AF80" s="8"/>
      <c r="AI80" s="9"/>
      <c r="AN80" s="9"/>
      <c r="AP80" s="8"/>
      <c r="AQ80" s="10"/>
      <c r="AR80" s="10"/>
      <c r="AS80" s="8"/>
      <c r="AT80" s="8"/>
      <c r="AU80" s="8"/>
    </row>
    <row r="81" spans="17:47" x14ac:dyDescent="0.4">
      <c r="Q81" s="4"/>
      <c r="R81" s="4"/>
      <c r="S81" s="4"/>
      <c r="T81" s="5"/>
      <c r="U81" s="8"/>
      <c r="V81" s="8"/>
      <c r="X81" s="5"/>
      <c r="AB81" s="5"/>
      <c r="AC81" s="8"/>
      <c r="AD81" s="8"/>
      <c r="AE81" s="8"/>
      <c r="AF81" s="8"/>
      <c r="AI81" s="9"/>
      <c r="AN81" s="9"/>
      <c r="AP81" s="8"/>
      <c r="AQ81" s="10"/>
      <c r="AR81" s="10"/>
      <c r="AS81" s="8"/>
      <c r="AT81" s="8"/>
      <c r="AU81" s="8"/>
    </row>
    <row r="82" spans="17:47" x14ac:dyDescent="0.4">
      <c r="Q82" s="4"/>
      <c r="R82" s="4"/>
      <c r="S82" s="4"/>
      <c r="T82" s="5"/>
      <c r="U82" s="8"/>
      <c r="V82" s="8"/>
      <c r="X82" s="5"/>
      <c r="AB82" s="5"/>
      <c r="AC82" s="8"/>
      <c r="AD82" s="8"/>
      <c r="AE82" s="8"/>
      <c r="AF82" s="8"/>
      <c r="AI82" s="9"/>
      <c r="AN82" s="9"/>
      <c r="AP82" s="8"/>
      <c r="AQ82" s="10"/>
      <c r="AR82" s="10"/>
      <c r="AS82" s="8"/>
      <c r="AT82" s="8"/>
      <c r="AU82" s="8"/>
    </row>
    <row r="83" spans="17:47" x14ac:dyDescent="0.4">
      <c r="Q83" s="4"/>
      <c r="R83" s="4"/>
      <c r="S83" s="4"/>
      <c r="T83" s="5"/>
      <c r="U83" s="8"/>
      <c r="V83" s="8"/>
      <c r="X83" s="5"/>
      <c r="AB83" s="5"/>
      <c r="AC83" s="8"/>
      <c r="AD83" s="8"/>
      <c r="AE83" s="8"/>
      <c r="AF83" s="8"/>
      <c r="AI83" s="9"/>
      <c r="AN83" s="9"/>
      <c r="AP83" s="8"/>
      <c r="AQ83" s="10"/>
      <c r="AR83" s="10"/>
      <c r="AS83" s="8"/>
      <c r="AT83" s="8"/>
      <c r="AU83" s="8"/>
    </row>
    <row r="84" spans="17:47" x14ac:dyDescent="0.4">
      <c r="Q84" s="4"/>
      <c r="R84" s="4"/>
      <c r="S84" s="4"/>
      <c r="T84" s="5"/>
      <c r="U84" s="8"/>
      <c r="V84" s="8"/>
      <c r="X84" s="5"/>
      <c r="AB84" s="5"/>
      <c r="AC84" s="8"/>
      <c r="AD84" s="8"/>
      <c r="AE84" s="8"/>
      <c r="AF84" s="8"/>
      <c r="AI84" s="9"/>
      <c r="AN84" s="9"/>
      <c r="AP84" s="8"/>
      <c r="AQ84" s="10"/>
      <c r="AR84" s="10"/>
      <c r="AS84" s="8"/>
      <c r="AT84" s="8"/>
      <c r="AU84" s="8"/>
    </row>
    <row r="85" spans="17:47" x14ac:dyDescent="0.4">
      <c r="Q85" s="4"/>
      <c r="R85" s="4"/>
      <c r="S85" s="4"/>
      <c r="T85" s="5"/>
      <c r="U85" s="8"/>
      <c r="V85" s="8"/>
      <c r="X85" s="5"/>
      <c r="AB85" s="5"/>
      <c r="AC85" s="8"/>
      <c r="AD85" s="8"/>
      <c r="AE85" s="8"/>
      <c r="AF85" s="8"/>
      <c r="AI85" s="9"/>
      <c r="AN85" s="9"/>
      <c r="AP85" s="8"/>
      <c r="AQ85" s="10"/>
      <c r="AR85" s="10"/>
      <c r="AS85" s="8"/>
      <c r="AT85" s="8"/>
      <c r="AU85" s="8"/>
    </row>
    <row r="86" spans="17:47" x14ac:dyDescent="0.4">
      <c r="Q86" s="4"/>
      <c r="R86" s="4"/>
      <c r="S86" s="4"/>
      <c r="T86" s="5"/>
      <c r="U86" s="8"/>
      <c r="V86" s="8"/>
      <c r="X86" s="5"/>
      <c r="AB86" s="5"/>
      <c r="AC86" s="8"/>
      <c r="AD86" s="8"/>
      <c r="AE86" s="8"/>
      <c r="AF86" s="8"/>
      <c r="AI86" s="9"/>
      <c r="AN86" s="9"/>
      <c r="AP86" s="8"/>
      <c r="AQ86" s="10"/>
      <c r="AR86" s="10"/>
      <c r="AS86" s="8"/>
      <c r="AT86" s="8"/>
      <c r="AU86" s="8"/>
    </row>
    <row r="87" spans="17:47" x14ac:dyDescent="0.4">
      <c r="Q87" s="4"/>
      <c r="R87" s="4"/>
      <c r="S87" s="4"/>
      <c r="T87" s="5"/>
      <c r="U87" s="8"/>
      <c r="V87" s="8"/>
      <c r="X87" s="5"/>
      <c r="AB87" s="5"/>
      <c r="AC87" s="8"/>
      <c r="AD87" s="8"/>
      <c r="AE87" s="8"/>
      <c r="AF87" s="8"/>
      <c r="AI87" s="9"/>
      <c r="AN87" s="9"/>
      <c r="AP87" s="8"/>
      <c r="AQ87" s="10"/>
      <c r="AR87" s="10"/>
      <c r="AS87" s="8"/>
      <c r="AT87" s="8"/>
      <c r="AU87" s="8"/>
    </row>
    <row r="88" spans="17:47" x14ac:dyDescent="0.4">
      <c r="Q88" s="4"/>
      <c r="R88" s="4"/>
      <c r="S88" s="4"/>
      <c r="T88" s="5"/>
      <c r="U88" s="8"/>
      <c r="V88" s="8"/>
      <c r="X88" s="5"/>
      <c r="AB88" s="5"/>
      <c r="AC88" s="8"/>
      <c r="AD88" s="8"/>
      <c r="AE88" s="8"/>
      <c r="AF88" s="8"/>
      <c r="AI88" s="9"/>
      <c r="AN88" s="9"/>
      <c r="AP88" s="8"/>
      <c r="AQ88" s="10"/>
      <c r="AR88" s="10"/>
      <c r="AS88" s="8"/>
      <c r="AT88" s="8"/>
      <c r="AU88" s="8"/>
    </row>
    <row r="89" spans="17:47" x14ac:dyDescent="0.4">
      <c r="Q89" s="4"/>
      <c r="R89" s="4"/>
      <c r="S89" s="4"/>
      <c r="T89" s="5"/>
      <c r="U89" s="8"/>
      <c r="V89" s="8"/>
      <c r="X89" s="5"/>
      <c r="AB89" s="5"/>
      <c r="AC89" s="8"/>
      <c r="AD89" s="8"/>
      <c r="AE89" s="8"/>
      <c r="AF89" s="8"/>
      <c r="AI89" s="9"/>
      <c r="AN89" s="9"/>
      <c r="AP89" s="8"/>
      <c r="AQ89" s="10"/>
      <c r="AR89" s="10"/>
      <c r="AS89" s="8"/>
      <c r="AT89" s="8"/>
      <c r="AU89" s="8"/>
    </row>
    <row r="90" spans="17:47" x14ac:dyDescent="0.4">
      <c r="Q90" s="4"/>
      <c r="R90" s="4"/>
      <c r="S90" s="4"/>
      <c r="T90" s="5"/>
      <c r="U90" s="8"/>
      <c r="V90" s="8"/>
      <c r="X90" s="5"/>
      <c r="AB90" s="5"/>
      <c r="AC90" s="8"/>
      <c r="AD90" s="8"/>
      <c r="AE90" s="8"/>
      <c r="AF90" s="8"/>
      <c r="AI90" s="9"/>
      <c r="AN90" s="9"/>
      <c r="AP90" s="8"/>
      <c r="AQ90" s="10"/>
      <c r="AR90" s="10"/>
      <c r="AS90" s="8"/>
      <c r="AT90" s="8"/>
      <c r="AU90" s="8"/>
    </row>
    <row r="91" spans="17:47" x14ac:dyDescent="0.4">
      <c r="Q91" s="4"/>
      <c r="R91" s="4"/>
      <c r="S91" s="4"/>
      <c r="T91" s="5"/>
      <c r="U91" s="8"/>
      <c r="V91" s="8"/>
      <c r="X91" s="5"/>
      <c r="AB91" s="5"/>
      <c r="AC91" s="8"/>
      <c r="AD91" s="8"/>
      <c r="AE91" s="8"/>
      <c r="AF91" s="8"/>
      <c r="AI91" s="9"/>
      <c r="AN91" s="9"/>
      <c r="AP91" s="8"/>
      <c r="AQ91" s="10"/>
      <c r="AR91" s="10"/>
      <c r="AS91" s="8"/>
      <c r="AT91" s="8"/>
      <c r="AU91" s="8"/>
    </row>
    <row r="92" spans="17:47" x14ac:dyDescent="0.4">
      <c r="Q92" s="4"/>
      <c r="R92" s="4"/>
      <c r="S92" s="4"/>
      <c r="T92" s="5"/>
      <c r="U92" s="8"/>
      <c r="V92" s="8"/>
      <c r="X92" s="5"/>
      <c r="AB92" s="5"/>
      <c r="AC92" s="8"/>
      <c r="AD92" s="8"/>
      <c r="AE92" s="8"/>
      <c r="AF92" s="8"/>
      <c r="AI92" s="9"/>
      <c r="AN92" s="9"/>
      <c r="AP92" s="8"/>
      <c r="AQ92" s="10"/>
      <c r="AR92" s="10"/>
      <c r="AS92" s="8"/>
      <c r="AT92" s="8"/>
      <c r="AU92" s="8"/>
    </row>
    <row r="93" spans="17:47" x14ac:dyDescent="0.4">
      <c r="Q93" s="4"/>
      <c r="R93" s="4"/>
      <c r="S93" s="4"/>
      <c r="T93" s="5"/>
      <c r="U93" s="8"/>
      <c r="V93" s="8"/>
      <c r="X93" s="5"/>
      <c r="AB93" s="5"/>
      <c r="AC93" s="8"/>
      <c r="AD93" s="8"/>
      <c r="AE93" s="8"/>
      <c r="AF93" s="8"/>
      <c r="AI93" s="9"/>
      <c r="AN93" s="9"/>
      <c r="AP93" s="8"/>
      <c r="AQ93" s="10"/>
      <c r="AR93" s="10"/>
      <c r="AS93" s="8"/>
      <c r="AT93" s="8"/>
      <c r="AU93" s="8"/>
    </row>
    <row r="94" spans="17:47" x14ac:dyDescent="0.4">
      <c r="Q94" s="4"/>
      <c r="R94" s="4"/>
      <c r="S94" s="4"/>
      <c r="T94" s="5"/>
      <c r="U94" s="8"/>
      <c r="V94" s="8"/>
      <c r="X94" s="5"/>
      <c r="AB94" s="5"/>
      <c r="AC94" s="8"/>
      <c r="AD94" s="8"/>
      <c r="AE94" s="8"/>
      <c r="AF94" s="8"/>
      <c r="AI94" s="9"/>
      <c r="AN94" s="9"/>
      <c r="AP94" s="8"/>
      <c r="AQ94" s="10"/>
      <c r="AR94" s="10"/>
      <c r="AS94" s="8"/>
      <c r="AT94" s="8"/>
      <c r="AU94" s="8"/>
    </row>
    <row r="95" spans="17:47" x14ac:dyDescent="0.4">
      <c r="Q95" s="4"/>
      <c r="R95" s="4"/>
      <c r="S95" s="4"/>
      <c r="T95" s="5"/>
      <c r="U95" s="8"/>
      <c r="V95" s="8"/>
      <c r="X95" s="5"/>
      <c r="AB95" s="5"/>
      <c r="AC95" s="8"/>
      <c r="AD95" s="8"/>
      <c r="AE95" s="8"/>
      <c r="AF95" s="8"/>
      <c r="AI95" s="9"/>
      <c r="AN95" s="9"/>
      <c r="AP95" s="8"/>
      <c r="AQ95" s="10"/>
      <c r="AR95" s="10"/>
      <c r="AS95" s="8"/>
      <c r="AT95" s="8"/>
      <c r="AU95" s="8"/>
    </row>
    <row r="96" spans="17:47" x14ac:dyDescent="0.4">
      <c r="Q96" s="4"/>
      <c r="R96" s="4"/>
      <c r="S96" s="4"/>
      <c r="T96" s="5"/>
      <c r="U96" s="8"/>
      <c r="V96" s="8"/>
      <c r="X96" s="5"/>
      <c r="AB96" s="5"/>
      <c r="AC96" s="8"/>
      <c r="AD96" s="8"/>
      <c r="AE96" s="8"/>
      <c r="AF96" s="8"/>
      <c r="AI96" s="9"/>
      <c r="AN96" s="9"/>
      <c r="AP96" s="8"/>
      <c r="AQ96" s="10"/>
      <c r="AR96" s="10"/>
      <c r="AS96" s="8"/>
      <c r="AT96" s="8"/>
      <c r="AU96" s="8"/>
    </row>
    <row r="97" spans="17:47" x14ac:dyDescent="0.4">
      <c r="Q97" s="4"/>
      <c r="R97" s="4"/>
      <c r="S97" s="4"/>
      <c r="T97" s="5"/>
      <c r="U97" s="8"/>
      <c r="V97" s="8"/>
      <c r="X97" s="5"/>
      <c r="AB97" s="5"/>
      <c r="AC97" s="8"/>
      <c r="AD97" s="8"/>
      <c r="AE97" s="8"/>
      <c r="AF97" s="8"/>
      <c r="AI97" s="9"/>
      <c r="AN97" s="9"/>
      <c r="AP97" s="8"/>
      <c r="AQ97" s="10"/>
      <c r="AR97" s="10"/>
      <c r="AS97" s="8"/>
      <c r="AT97" s="8"/>
      <c r="AU97" s="8"/>
    </row>
    <row r="98" spans="17:47" x14ac:dyDescent="0.4">
      <c r="Q98" s="4"/>
      <c r="R98" s="4"/>
      <c r="S98" s="4"/>
      <c r="T98" s="5"/>
      <c r="U98" s="8"/>
      <c r="V98" s="8"/>
      <c r="X98" s="5"/>
      <c r="AB98" s="5"/>
      <c r="AC98" s="8"/>
      <c r="AD98" s="8"/>
      <c r="AE98" s="8"/>
      <c r="AF98" s="8"/>
      <c r="AI98" s="9"/>
      <c r="AN98" s="9"/>
      <c r="AP98" s="8"/>
      <c r="AQ98" s="10"/>
      <c r="AR98" s="10"/>
      <c r="AS98" s="8"/>
      <c r="AT98" s="8"/>
      <c r="AU98" s="8"/>
    </row>
    <row r="99" spans="17:47" x14ac:dyDescent="0.4">
      <c r="Q99" s="4"/>
      <c r="R99" s="4"/>
      <c r="S99" s="4"/>
      <c r="T99" s="5"/>
      <c r="U99" s="8"/>
      <c r="V99" s="8"/>
      <c r="X99" s="5"/>
      <c r="AB99" s="5"/>
      <c r="AC99" s="8"/>
      <c r="AD99" s="8"/>
      <c r="AE99" s="8"/>
      <c r="AF99" s="8"/>
      <c r="AI99" s="9"/>
      <c r="AN99" s="9"/>
      <c r="AP99" s="8"/>
      <c r="AQ99" s="10"/>
      <c r="AR99" s="10"/>
      <c r="AS99" s="8"/>
      <c r="AT99" s="8"/>
      <c r="AU99" s="8"/>
    </row>
    <row r="100" spans="17:47" x14ac:dyDescent="0.4">
      <c r="T100" s="5"/>
      <c r="U100" s="8"/>
      <c r="V100" s="8"/>
      <c r="X100" s="5"/>
      <c r="AB100" s="5"/>
      <c r="AC100" s="8"/>
      <c r="AD100" s="8"/>
      <c r="AE100" s="8"/>
      <c r="AF100" s="8"/>
      <c r="AI100" s="9"/>
      <c r="AN100" s="9"/>
      <c r="AP100" s="8"/>
      <c r="AQ100" s="10"/>
      <c r="AR100" s="10"/>
      <c r="AS100" s="8"/>
      <c r="AT100" s="8"/>
      <c r="AU100" s="8"/>
    </row>
    <row r="101" spans="17:47" x14ac:dyDescent="0.4">
      <c r="T101" s="5"/>
      <c r="U101" s="8"/>
      <c r="V101" s="8"/>
      <c r="X101" s="5"/>
      <c r="AB101" s="5"/>
      <c r="AC101" s="8"/>
      <c r="AD101" s="8"/>
      <c r="AE101" s="8"/>
      <c r="AF101" s="8"/>
      <c r="AI101" s="9"/>
      <c r="AN101" s="9"/>
      <c r="AP101" s="8"/>
      <c r="AQ101" s="10"/>
      <c r="AR101" s="10"/>
      <c r="AS101" s="8"/>
      <c r="AT101" s="8"/>
      <c r="AU101" s="8"/>
    </row>
    <row r="102" spans="17:47" x14ac:dyDescent="0.4">
      <c r="T102" s="5"/>
      <c r="U102" s="8"/>
      <c r="V102" s="8"/>
      <c r="X102" s="5"/>
      <c r="AB102" s="5"/>
      <c r="AC102" s="8"/>
      <c r="AD102" s="8"/>
      <c r="AE102" s="8"/>
      <c r="AF102" s="8"/>
      <c r="AI102" s="9"/>
      <c r="AN102" s="9"/>
      <c r="AP102" s="8"/>
      <c r="AQ102" s="10"/>
      <c r="AR102" s="10"/>
      <c r="AS102" s="8"/>
      <c r="AT102" s="8"/>
      <c r="AU102" s="8"/>
    </row>
    <row r="103" spans="17:47" x14ac:dyDescent="0.4">
      <c r="T103" s="5"/>
      <c r="U103" s="8"/>
      <c r="V103" s="8"/>
      <c r="X103" s="5"/>
      <c r="AB103" s="5"/>
      <c r="AC103" s="8"/>
      <c r="AD103" s="8"/>
      <c r="AE103" s="8"/>
      <c r="AF103" s="8"/>
      <c r="AI103" s="9"/>
      <c r="AN103" s="9"/>
      <c r="AP103" s="8"/>
      <c r="AQ103" s="10"/>
      <c r="AR103" s="10"/>
      <c r="AS103" s="8"/>
      <c r="AT103" s="8"/>
      <c r="AU103" s="8"/>
    </row>
    <row r="104" spans="17:47" x14ac:dyDescent="0.4">
      <c r="T104" s="5"/>
      <c r="U104" s="8"/>
      <c r="V104" s="8"/>
      <c r="X104" s="5"/>
      <c r="AB104" s="5"/>
      <c r="AC104" s="8"/>
      <c r="AD104" s="8"/>
      <c r="AE104" s="8"/>
      <c r="AF104" s="8"/>
      <c r="AI104" s="9"/>
      <c r="AN104" s="9"/>
      <c r="AP104" s="8"/>
      <c r="AQ104" s="10"/>
      <c r="AR104" s="10"/>
      <c r="AS104" s="8"/>
      <c r="AT104" s="8"/>
      <c r="AU104" s="8"/>
    </row>
    <row r="105" spans="17:47" x14ac:dyDescent="0.4">
      <c r="T105" s="5"/>
      <c r="U105" s="8"/>
      <c r="V105" s="8"/>
      <c r="X105" s="5"/>
      <c r="AB105" s="5"/>
      <c r="AC105" s="8"/>
      <c r="AD105" s="8"/>
      <c r="AE105" s="8"/>
      <c r="AF105" s="8"/>
      <c r="AI105" s="9"/>
      <c r="AN105" s="9"/>
      <c r="AP105" s="8"/>
      <c r="AQ105" s="10"/>
      <c r="AR105" s="10"/>
      <c r="AS105" s="8"/>
      <c r="AT105" s="8"/>
      <c r="AU105" s="8"/>
    </row>
    <row r="106" spans="17:47" x14ac:dyDescent="0.4">
      <c r="T106" s="5"/>
      <c r="U106" s="8"/>
      <c r="V106" s="8"/>
      <c r="X106" s="5"/>
      <c r="AB106" s="5"/>
      <c r="AC106" s="8"/>
      <c r="AD106" s="8"/>
      <c r="AE106" s="8"/>
      <c r="AF106" s="8"/>
      <c r="AI106" s="9"/>
      <c r="AN106" s="9"/>
      <c r="AP106" s="8"/>
      <c r="AQ106" s="10"/>
      <c r="AR106" s="10"/>
      <c r="AS106" s="8"/>
      <c r="AT106" s="8"/>
      <c r="AU106" s="8"/>
    </row>
    <row r="107" spans="17:47" x14ac:dyDescent="0.4">
      <c r="T107" s="5"/>
      <c r="U107" s="8"/>
      <c r="V107" s="8"/>
      <c r="X107" s="5"/>
      <c r="AB107" s="5"/>
      <c r="AC107" s="8"/>
      <c r="AD107" s="8"/>
      <c r="AE107" s="8"/>
      <c r="AF107" s="8"/>
      <c r="AI107" s="9"/>
      <c r="AN107" s="9"/>
      <c r="AP107" s="8"/>
      <c r="AQ107" s="10"/>
      <c r="AR107" s="10"/>
      <c r="AS107" s="8"/>
      <c r="AT107" s="8"/>
      <c r="AU107" s="8"/>
    </row>
    <row r="108" spans="17:47" x14ac:dyDescent="0.4">
      <c r="T108" s="5"/>
      <c r="U108" s="8"/>
      <c r="V108" s="8"/>
      <c r="X108" s="5"/>
      <c r="AB108" s="5"/>
      <c r="AC108" s="8"/>
      <c r="AD108" s="8"/>
      <c r="AE108" s="8"/>
      <c r="AF108" s="8"/>
      <c r="AI108" s="9"/>
      <c r="AN108" s="9"/>
      <c r="AP108" s="8"/>
      <c r="AQ108" s="10"/>
      <c r="AR108" s="10"/>
      <c r="AS108" s="8"/>
      <c r="AT108" s="8"/>
      <c r="AU108" s="8"/>
    </row>
    <row r="109" spans="17:47" x14ac:dyDescent="0.4">
      <c r="T109" s="5"/>
      <c r="U109" s="8"/>
      <c r="V109" s="8"/>
      <c r="X109" s="5"/>
      <c r="AB109" s="5"/>
      <c r="AC109" s="8"/>
      <c r="AD109" s="8"/>
      <c r="AE109" s="8"/>
      <c r="AF109" s="8"/>
      <c r="AI109" s="9"/>
      <c r="AN109" s="9"/>
      <c r="AP109" s="8"/>
      <c r="AQ109" s="10"/>
      <c r="AR109" s="10"/>
      <c r="AS109" s="8"/>
      <c r="AT109" s="8"/>
      <c r="AU109" s="8"/>
    </row>
    <row r="110" spans="17:47" x14ac:dyDescent="0.4">
      <c r="T110" s="5"/>
      <c r="U110" s="8"/>
      <c r="V110" s="8"/>
      <c r="X110" s="5"/>
      <c r="AB110" s="5"/>
      <c r="AC110" s="8"/>
      <c r="AD110" s="8"/>
      <c r="AE110" s="8"/>
      <c r="AF110" s="8"/>
      <c r="AI110" s="9"/>
      <c r="AN110" s="9"/>
      <c r="AP110" s="8"/>
      <c r="AQ110" s="10"/>
      <c r="AR110" s="10"/>
      <c r="AS110" s="8"/>
      <c r="AT110" s="8"/>
      <c r="AU110" s="8"/>
    </row>
    <row r="111" spans="17:47" x14ac:dyDescent="0.4">
      <c r="T111" s="5"/>
      <c r="U111" s="8"/>
      <c r="V111" s="8"/>
      <c r="X111" s="5"/>
      <c r="AB111" s="5"/>
      <c r="AC111" s="8"/>
      <c r="AD111" s="8"/>
      <c r="AE111" s="8"/>
      <c r="AF111" s="8"/>
      <c r="AI111" s="9"/>
      <c r="AN111" s="9"/>
      <c r="AP111" s="8"/>
      <c r="AQ111" s="10"/>
      <c r="AR111" s="10"/>
      <c r="AS111" s="8"/>
      <c r="AT111" s="8"/>
      <c r="AU111" s="8"/>
    </row>
    <row r="112" spans="17:47" x14ac:dyDescent="0.4">
      <c r="T112" s="5"/>
      <c r="U112" s="8"/>
      <c r="V112" s="8"/>
      <c r="X112" s="5"/>
      <c r="AB112" s="5"/>
      <c r="AC112" s="8"/>
      <c r="AD112" s="8"/>
      <c r="AE112" s="8"/>
      <c r="AF112" s="8"/>
      <c r="AI112" s="9"/>
      <c r="AN112" s="9"/>
      <c r="AP112" s="8"/>
      <c r="AQ112" s="10"/>
      <c r="AR112" s="10"/>
      <c r="AS112" s="8"/>
      <c r="AT112" s="8"/>
      <c r="AU112" s="8"/>
    </row>
    <row r="113" spans="20:47" x14ac:dyDescent="0.4">
      <c r="T113" s="5"/>
      <c r="U113" s="8"/>
      <c r="V113" s="8"/>
      <c r="X113" s="5"/>
      <c r="AB113" s="5"/>
      <c r="AC113" s="8"/>
      <c r="AD113" s="8"/>
      <c r="AE113" s="8"/>
      <c r="AF113" s="8"/>
      <c r="AI113" s="9"/>
      <c r="AN113" s="9"/>
      <c r="AP113" s="8"/>
      <c r="AQ113" s="10"/>
      <c r="AR113" s="10"/>
      <c r="AS113" s="8"/>
      <c r="AT113" s="8"/>
      <c r="AU113" s="8"/>
    </row>
    <row r="114" spans="20:47" x14ac:dyDescent="0.4">
      <c r="T114" s="5"/>
      <c r="U114" s="8"/>
      <c r="V114" s="8"/>
      <c r="X114" s="5"/>
      <c r="AB114" s="5"/>
      <c r="AC114" s="8"/>
      <c r="AD114" s="8"/>
      <c r="AE114" s="8"/>
      <c r="AF114" s="8"/>
      <c r="AI114" s="9"/>
      <c r="AN114" s="9"/>
      <c r="AP114" s="8"/>
      <c r="AQ114" s="10"/>
      <c r="AR114" s="10"/>
      <c r="AS114" s="8"/>
      <c r="AT114" s="8"/>
      <c r="AU114" s="8"/>
    </row>
    <row r="115" spans="20:47" x14ac:dyDescent="0.4">
      <c r="T115" s="5"/>
      <c r="U115" s="8"/>
      <c r="V115" s="8"/>
      <c r="X115" s="5"/>
      <c r="AB115" s="5"/>
      <c r="AC115" s="8"/>
      <c r="AD115" s="8"/>
      <c r="AE115" s="8"/>
      <c r="AF115" s="8"/>
      <c r="AI115" s="9"/>
      <c r="AN115" s="9"/>
      <c r="AP115" s="8"/>
      <c r="AQ115" s="10"/>
      <c r="AR115" s="10"/>
      <c r="AS115" s="8"/>
      <c r="AT115" s="8"/>
      <c r="AU115" s="8"/>
    </row>
    <row r="116" spans="20:47" x14ac:dyDescent="0.4">
      <c r="T116" s="5"/>
      <c r="U116" s="8"/>
      <c r="V116" s="8"/>
      <c r="X116" s="5"/>
      <c r="AB116" s="5"/>
      <c r="AC116" s="8"/>
      <c r="AD116" s="8"/>
      <c r="AE116" s="8"/>
      <c r="AF116" s="8"/>
      <c r="AI116" s="9"/>
      <c r="AN116" s="9"/>
      <c r="AP116" s="8"/>
      <c r="AQ116" s="10"/>
      <c r="AR116" s="10"/>
      <c r="AS116" s="8"/>
      <c r="AT116" s="8"/>
      <c r="AU116" s="8"/>
    </row>
    <row r="117" spans="20:47" x14ac:dyDescent="0.4">
      <c r="T117" s="5"/>
      <c r="U117" s="8"/>
      <c r="V117" s="8"/>
      <c r="X117" s="5"/>
      <c r="AB117" s="5"/>
      <c r="AC117" s="8"/>
      <c r="AD117" s="8"/>
      <c r="AE117" s="8"/>
      <c r="AF117" s="8"/>
      <c r="AI117" s="9"/>
      <c r="AN117" s="9"/>
      <c r="AP117" s="8"/>
      <c r="AQ117" s="10"/>
      <c r="AR117" s="10"/>
      <c r="AS117" s="8"/>
      <c r="AT117" s="8"/>
      <c r="AU117" s="8"/>
    </row>
    <row r="118" spans="20:47" x14ac:dyDescent="0.4">
      <c r="T118" s="5"/>
      <c r="U118" s="8"/>
      <c r="V118" s="8"/>
      <c r="X118" s="5"/>
      <c r="AB118" s="5"/>
      <c r="AC118" s="8"/>
      <c r="AD118" s="8"/>
      <c r="AE118" s="8"/>
      <c r="AF118" s="8"/>
      <c r="AI118" s="9"/>
      <c r="AN118" s="9"/>
      <c r="AP118" s="8"/>
      <c r="AQ118" s="10"/>
      <c r="AR118" s="10"/>
      <c r="AS118" s="8"/>
      <c r="AT118" s="8"/>
      <c r="AU118" s="8"/>
    </row>
    <row r="119" spans="20:47" x14ac:dyDescent="0.4">
      <c r="T119" s="5"/>
      <c r="U119" s="8"/>
      <c r="V119" s="8"/>
      <c r="X119" s="5"/>
      <c r="AB119" s="5"/>
      <c r="AC119" s="8"/>
      <c r="AD119" s="8"/>
      <c r="AE119" s="8"/>
      <c r="AF119" s="8"/>
      <c r="AI119" s="9"/>
      <c r="AN119" s="9"/>
      <c r="AP119" s="8"/>
      <c r="AQ119" s="10"/>
      <c r="AR119" s="10"/>
      <c r="AS119" s="8"/>
      <c r="AT119" s="8"/>
      <c r="AU119" s="8"/>
    </row>
    <row r="120" spans="20:47" x14ac:dyDescent="0.4">
      <c r="T120" s="5"/>
      <c r="U120" s="8"/>
      <c r="V120" s="8"/>
      <c r="X120" s="5"/>
      <c r="AB120" s="5"/>
      <c r="AC120" s="8"/>
      <c r="AD120" s="8"/>
      <c r="AE120" s="8"/>
      <c r="AF120" s="8"/>
      <c r="AI120" s="9"/>
      <c r="AN120" s="9"/>
      <c r="AP120" s="8"/>
      <c r="AQ120" s="10"/>
      <c r="AR120" s="10"/>
      <c r="AS120" s="8"/>
      <c r="AT120" s="8"/>
      <c r="AU120" s="8"/>
    </row>
    <row r="121" spans="20:47" x14ac:dyDescent="0.4">
      <c r="T121" s="5"/>
      <c r="U121" s="8"/>
      <c r="V121" s="8"/>
      <c r="X121" s="5"/>
      <c r="AB121" s="5"/>
      <c r="AC121" s="8"/>
      <c r="AD121" s="8"/>
      <c r="AE121" s="8"/>
      <c r="AF121" s="8"/>
      <c r="AI121" s="9"/>
      <c r="AN121" s="9"/>
      <c r="AP121" s="8"/>
      <c r="AQ121" s="10"/>
      <c r="AR121" s="10"/>
      <c r="AS121" s="8"/>
      <c r="AT121" s="8"/>
      <c r="AU121" s="8"/>
    </row>
    <row r="122" spans="20:47" x14ac:dyDescent="0.4">
      <c r="T122" s="5"/>
      <c r="U122" s="8"/>
      <c r="V122" s="8"/>
      <c r="X122" s="5"/>
      <c r="AB122" s="5"/>
      <c r="AC122" s="8"/>
      <c r="AD122" s="8"/>
      <c r="AE122" s="8"/>
      <c r="AF122" s="8"/>
      <c r="AI122" s="9"/>
      <c r="AN122" s="9"/>
      <c r="AP122" s="8"/>
      <c r="AQ122" s="10"/>
      <c r="AR122" s="10"/>
      <c r="AS122" s="8"/>
      <c r="AT122" s="8"/>
      <c r="AU122" s="8"/>
    </row>
    <row r="123" spans="20:47" x14ac:dyDescent="0.4">
      <c r="T123" s="5"/>
      <c r="U123" s="8"/>
      <c r="V123" s="8"/>
      <c r="X123" s="5"/>
      <c r="AB123" s="5"/>
      <c r="AC123" s="8"/>
      <c r="AD123" s="8"/>
      <c r="AE123" s="8"/>
      <c r="AF123" s="8"/>
      <c r="AI123" s="9"/>
      <c r="AN123" s="9"/>
      <c r="AP123" s="8"/>
      <c r="AQ123" s="10"/>
      <c r="AR123" s="10"/>
      <c r="AS123" s="8"/>
      <c r="AT123" s="8"/>
      <c r="AU123" s="8"/>
    </row>
    <row r="124" spans="20:47" x14ac:dyDescent="0.4">
      <c r="T124" s="5"/>
      <c r="U124" s="8"/>
      <c r="V124" s="8"/>
      <c r="X124" s="5"/>
      <c r="AB124" s="5"/>
      <c r="AC124" s="8"/>
      <c r="AD124" s="8"/>
      <c r="AE124" s="8"/>
      <c r="AF124" s="8"/>
      <c r="AI124" s="9"/>
      <c r="AN124" s="9"/>
      <c r="AP124" s="8"/>
      <c r="AQ124" s="10"/>
      <c r="AR124" s="10"/>
      <c r="AS124" s="8"/>
      <c r="AT124" s="8"/>
      <c r="AU124" s="8"/>
    </row>
    <row r="125" spans="20:47" x14ac:dyDescent="0.4">
      <c r="T125" s="5"/>
      <c r="U125" s="8"/>
      <c r="V125" s="8"/>
      <c r="X125" s="5"/>
      <c r="AB125" s="5"/>
      <c r="AC125" s="8"/>
      <c r="AD125" s="8"/>
      <c r="AE125" s="8"/>
      <c r="AF125" s="8"/>
      <c r="AI125" s="9"/>
      <c r="AN125" s="9"/>
      <c r="AP125" s="8"/>
      <c r="AQ125" s="10"/>
      <c r="AR125" s="10"/>
      <c r="AS125" s="8"/>
      <c r="AT125" s="8"/>
      <c r="AU125" s="8"/>
    </row>
    <row r="126" spans="20:47" x14ac:dyDescent="0.4">
      <c r="T126" s="5"/>
      <c r="U126" s="8"/>
      <c r="V126" s="8"/>
      <c r="X126" s="5"/>
      <c r="AB126" s="5"/>
      <c r="AC126" s="8"/>
      <c r="AD126" s="8"/>
      <c r="AE126" s="8"/>
      <c r="AF126" s="8"/>
      <c r="AI126" s="9"/>
      <c r="AN126" s="9"/>
      <c r="AP126" s="8"/>
      <c r="AQ126" s="10"/>
      <c r="AR126" s="10"/>
      <c r="AS126" s="8"/>
      <c r="AT126" s="8"/>
      <c r="AU126" s="8"/>
    </row>
    <row r="127" spans="20:47" x14ac:dyDescent="0.4">
      <c r="T127" s="5"/>
      <c r="U127" s="8"/>
      <c r="V127" s="8"/>
      <c r="X127" s="5"/>
      <c r="AB127" s="5"/>
      <c r="AC127" s="8"/>
      <c r="AD127" s="8"/>
      <c r="AE127" s="8"/>
      <c r="AF127" s="8"/>
      <c r="AI127" s="9"/>
      <c r="AN127" s="9"/>
      <c r="AP127" s="8"/>
      <c r="AQ127" s="10"/>
      <c r="AR127" s="10"/>
      <c r="AS127" s="8"/>
      <c r="AT127" s="8"/>
      <c r="AU127" s="8"/>
    </row>
    <row r="128" spans="20:47" x14ac:dyDescent="0.4">
      <c r="T128" s="5"/>
      <c r="U128" s="8"/>
      <c r="V128" s="8"/>
      <c r="X128" s="5"/>
      <c r="AB128" s="5"/>
      <c r="AC128" s="8"/>
      <c r="AD128" s="8"/>
      <c r="AE128" s="8"/>
      <c r="AF128" s="8"/>
      <c r="AI128" s="9"/>
      <c r="AN128" s="9"/>
      <c r="AP128" s="8"/>
      <c r="AQ128" s="10"/>
      <c r="AR128" s="10"/>
      <c r="AS128" s="8"/>
      <c r="AT128" s="8"/>
      <c r="AU128" s="8"/>
    </row>
    <row r="129" spans="20:47" x14ac:dyDescent="0.4">
      <c r="T129" s="5"/>
      <c r="U129" s="8"/>
      <c r="V129" s="8"/>
      <c r="X129" s="5"/>
      <c r="AB129" s="5"/>
      <c r="AC129" s="8"/>
      <c r="AD129" s="8"/>
      <c r="AE129" s="8"/>
      <c r="AF129" s="8"/>
      <c r="AI129" s="9"/>
      <c r="AN129" s="9"/>
      <c r="AP129" s="8"/>
      <c r="AQ129" s="10"/>
      <c r="AR129" s="10"/>
      <c r="AS129" s="8"/>
      <c r="AT129" s="8"/>
      <c r="AU129" s="8"/>
    </row>
    <row r="130" spans="20:47" x14ac:dyDescent="0.4">
      <c r="T130" s="5"/>
      <c r="U130" s="8"/>
      <c r="V130" s="8"/>
      <c r="X130" s="5"/>
      <c r="AB130" s="5"/>
      <c r="AC130" s="8"/>
      <c r="AD130" s="8"/>
      <c r="AE130" s="8"/>
      <c r="AF130" s="8"/>
      <c r="AI130" s="9"/>
      <c r="AN130" s="9"/>
      <c r="AP130" s="8"/>
      <c r="AQ130" s="10"/>
      <c r="AR130" s="10"/>
      <c r="AS130" s="8"/>
      <c r="AT130" s="8"/>
      <c r="AU130" s="8"/>
    </row>
    <row r="131" spans="20:47" x14ac:dyDescent="0.4">
      <c r="T131" s="5"/>
      <c r="U131" s="8"/>
      <c r="V131" s="8"/>
      <c r="X131" s="5"/>
      <c r="AB131" s="5"/>
      <c r="AC131" s="8"/>
      <c r="AD131" s="8"/>
      <c r="AE131" s="8"/>
      <c r="AF131" s="8"/>
      <c r="AI131" s="9"/>
      <c r="AN131" s="9"/>
      <c r="AP131" s="8"/>
      <c r="AQ131" s="10"/>
      <c r="AR131" s="10"/>
      <c r="AS131" s="8"/>
      <c r="AT131" s="8"/>
      <c r="AU131" s="8"/>
    </row>
    <row r="132" spans="20:47" x14ac:dyDescent="0.4">
      <c r="T132" s="5"/>
      <c r="U132" s="8"/>
      <c r="V132" s="8"/>
      <c r="X132" s="5"/>
      <c r="AB132" s="5"/>
      <c r="AC132" s="8"/>
      <c r="AD132" s="8"/>
      <c r="AE132" s="8"/>
      <c r="AF132" s="8"/>
      <c r="AI132" s="9"/>
      <c r="AN132" s="9"/>
      <c r="AP132" s="8"/>
      <c r="AQ132" s="10"/>
      <c r="AR132" s="10"/>
      <c r="AS132" s="8"/>
      <c r="AT132" s="8"/>
      <c r="AU132" s="8"/>
    </row>
    <row r="133" spans="20:47" x14ac:dyDescent="0.4">
      <c r="T133" s="5"/>
      <c r="U133" s="8"/>
      <c r="V133" s="8"/>
      <c r="X133" s="5"/>
      <c r="AB133" s="5"/>
      <c r="AC133" s="8"/>
      <c r="AD133" s="8"/>
      <c r="AE133" s="8"/>
      <c r="AF133" s="8"/>
      <c r="AI133" s="9"/>
      <c r="AN133" s="9"/>
      <c r="AP133" s="8"/>
      <c r="AQ133" s="10"/>
      <c r="AR133" s="10"/>
      <c r="AS133" s="8"/>
      <c r="AT133" s="8"/>
      <c r="AU133" s="8"/>
    </row>
    <row r="134" spans="20:47" x14ac:dyDescent="0.4">
      <c r="T134" s="5"/>
      <c r="U134" s="8"/>
      <c r="V134" s="8"/>
      <c r="X134" s="5"/>
      <c r="AB134" s="5"/>
      <c r="AC134" s="8"/>
      <c r="AD134" s="8"/>
      <c r="AE134" s="8"/>
      <c r="AF134" s="8"/>
      <c r="AI134" s="9"/>
      <c r="AN134" s="9"/>
      <c r="AP134" s="8"/>
      <c r="AQ134" s="10"/>
      <c r="AR134" s="10"/>
      <c r="AS134" s="8"/>
      <c r="AT134" s="8"/>
      <c r="AU134" s="8"/>
    </row>
    <row r="135" spans="20:47" x14ac:dyDescent="0.4">
      <c r="T135" s="5"/>
      <c r="U135" s="8"/>
      <c r="V135" s="8"/>
      <c r="X135" s="5"/>
      <c r="AB135" s="5"/>
      <c r="AC135" s="8"/>
      <c r="AD135" s="8"/>
      <c r="AE135" s="8"/>
      <c r="AF135" s="8"/>
      <c r="AI135" s="9"/>
      <c r="AN135" s="9"/>
      <c r="AP135" s="8"/>
      <c r="AQ135" s="10"/>
      <c r="AR135" s="10"/>
      <c r="AS135" s="8"/>
      <c r="AT135" s="8"/>
      <c r="AU135" s="8"/>
    </row>
    <row r="136" spans="20:47" x14ac:dyDescent="0.4">
      <c r="T136" s="5"/>
      <c r="U136" s="8"/>
      <c r="V136" s="8"/>
      <c r="X136" s="5"/>
      <c r="AB136" s="5"/>
      <c r="AC136" s="8"/>
      <c r="AD136" s="8"/>
      <c r="AE136" s="8"/>
      <c r="AF136" s="8"/>
      <c r="AI136" s="9"/>
      <c r="AN136" s="9"/>
      <c r="AP136" s="8"/>
      <c r="AQ136" s="10"/>
      <c r="AR136" s="10"/>
      <c r="AS136" s="8"/>
      <c r="AT136" s="8"/>
      <c r="AU136" s="8"/>
    </row>
    <row r="137" spans="20:47" x14ac:dyDescent="0.4">
      <c r="T137" s="5"/>
      <c r="U137" s="8"/>
      <c r="V137" s="8"/>
      <c r="X137" s="5"/>
      <c r="AB137" s="5"/>
      <c r="AC137" s="8"/>
      <c r="AD137" s="8"/>
      <c r="AE137" s="8"/>
      <c r="AF137" s="8"/>
      <c r="AI137" s="9"/>
      <c r="AN137" s="9"/>
      <c r="AP137" s="8"/>
      <c r="AQ137" s="10"/>
      <c r="AR137" s="10"/>
      <c r="AS137" s="8"/>
      <c r="AT137" s="8"/>
      <c r="AU137" s="8"/>
    </row>
    <row r="138" spans="20:47" x14ac:dyDescent="0.4">
      <c r="T138" s="5"/>
      <c r="U138" s="8"/>
      <c r="V138" s="8"/>
      <c r="X138" s="5"/>
      <c r="AB138" s="5"/>
      <c r="AC138" s="8"/>
      <c r="AD138" s="8"/>
      <c r="AE138" s="8"/>
      <c r="AF138" s="8"/>
      <c r="AI138" s="9"/>
      <c r="AN138" s="9"/>
      <c r="AP138" s="8"/>
      <c r="AQ138" s="10"/>
      <c r="AR138" s="10"/>
      <c r="AS138" s="8"/>
      <c r="AT138" s="8"/>
      <c r="AU138" s="8"/>
    </row>
    <row r="139" spans="20:47" x14ac:dyDescent="0.4">
      <c r="T139" s="5"/>
      <c r="U139" s="8"/>
      <c r="V139" s="8"/>
      <c r="X139" s="5"/>
      <c r="AB139" s="5"/>
      <c r="AC139" s="8"/>
      <c r="AD139" s="8"/>
      <c r="AE139" s="8"/>
      <c r="AF139" s="8"/>
      <c r="AI139" s="9"/>
      <c r="AN139" s="9"/>
      <c r="AP139" s="8"/>
      <c r="AQ139" s="10"/>
      <c r="AR139" s="10"/>
      <c r="AS139" s="8"/>
      <c r="AT139" s="8"/>
      <c r="AU139" s="8"/>
    </row>
    <row r="140" spans="20:47" x14ac:dyDescent="0.4">
      <c r="T140" s="5"/>
      <c r="U140" s="8"/>
      <c r="V140" s="8"/>
      <c r="X140" s="5"/>
      <c r="AB140" s="5"/>
      <c r="AC140" s="8"/>
      <c r="AD140" s="8"/>
      <c r="AE140" s="8"/>
      <c r="AF140" s="8"/>
      <c r="AI140" s="9"/>
      <c r="AN140" s="9"/>
      <c r="AP140" s="8"/>
      <c r="AQ140" s="10"/>
      <c r="AR140" s="10"/>
      <c r="AS140" s="8"/>
      <c r="AT140" s="8"/>
      <c r="AU140" s="8"/>
    </row>
    <row r="141" spans="20:47" x14ac:dyDescent="0.4">
      <c r="T141" s="5"/>
      <c r="U141" s="8"/>
      <c r="V141" s="8"/>
      <c r="X141" s="5"/>
      <c r="AB141" s="5"/>
      <c r="AC141" s="8"/>
      <c r="AD141" s="8"/>
      <c r="AE141" s="8"/>
      <c r="AF141" s="8"/>
      <c r="AI141" s="9"/>
      <c r="AN141" s="9"/>
      <c r="AP141" s="8"/>
      <c r="AQ141" s="10"/>
      <c r="AR141" s="10"/>
      <c r="AS141" s="8"/>
      <c r="AT141" s="8"/>
      <c r="AU141" s="8"/>
    </row>
    <row r="142" spans="20:47" x14ac:dyDescent="0.4">
      <c r="T142" s="5"/>
      <c r="U142" s="8"/>
      <c r="V142" s="8"/>
      <c r="X142" s="5"/>
      <c r="AB142" s="5"/>
      <c r="AC142" s="8"/>
      <c r="AD142" s="8"/>
      <c r="AE142" s="8"/>
      <c r="AF142" s="8"/>
      <c r="AI142" s="9"/>
      <c r="AN142" s="9"/>
      <c r="AP142" s="8"/>
      <c r="AQ142" s="10"/>
      <c r="AR142" s="10"/>
      <c r="AS142" s="8"/>
      <c r="AT142" s="8"/>
      <c r="AU142" s="8"/>
    </row>
    <row r="143" spans="20:47" x14ac:dyDescent="0.4">
      <c r="T143" s="5"/>
      <c r="U143" s="8"/>
      <c r="V143" s="8"/>
      <c r="X143" s="5"/>
      <c r="AB143" s="5"/>
      <c r="AC143" s="8"/>
      <c r="AD143" s="8"/>
      <c r="AE143" s="8"/>
      <c r="AF143" s="8"/>
      <c r="AI143" s="9"/>
      <c r="AN143" s="9"/>
      <c r="AP143" s="8"/>
      <c r="AQ143" s="10"/>
      <c r="AR143" s="10"/>
      <c r="AS143" s="8"/>
      <c r="AT143" s="8"/>
      <c r="AU143" s="8"/>
    </row>
    <row r="144" spans="20:47" x14ac:dyDescent="0.4">
      <c r="T144" s="5"/>
      <c r="U144" s="8"/>
      <c r="V144" s="8"/>
      <c r="X144" s="5"/>
      <c r="AB144" s="5"/>
      <c r="AC144" s="8"/>
      <c r="AD144" s="8"/>
      <c r="AE144" s="8"/>
      <c r="AF144" s="8"/>
      <c r="AI144" s="9"/>
      <c r="AN144" s="9"/>
      <c r="AP144" s="8"/>
      <c r="AQ144" s="10"/>
      <c r="AR144" s="10"/>
      <c r="AS144" s="8"/>
      <c r="AT144" s="8"/>
      <c r="AU144" s="8"/>
    </row>
    <row r="145" spans="20:47" x14ac:dyDescent="0.4">
      <c r="T145" s="5"/>
      <c r="U145" s="8"/>
      <c r="V145" s="8"/>
      <c r="X145" s="5"/>
      <c r="AB145" s="5"/>
      <c r="AC145" s="8"/>
      <c r="AD145" s="8"/>
      <c r="AE145" s="8"/>
      <c r="AF145" s="8"/>
      <c r="AI145" s="9"/>
      <c r="AN145" s="9"/>
      <c r="AP145" s="8"/>
      <c r="AQ145" s="10"/>
      <c r="AR145" s="10"/>
      <c r="AS145" s="8"/>
      <c r="AT145" s="8"/>
      <c r="AU145" s="8"/>
    </row>
    <row r="146" spans="20:47" x14ac:dyDescent="0.4">
      <c r="T146" s="5"/>
      <c r="U146" s="8"/>
      <c r="V146" s="8"/>
      <c r="X146" s="5"/>
      <c r="AB146" s="5"/>
      <c r="AC146" s="8"/>
      <c r="AD146" s="8"/>
      <c r="AE146" s="8"/>
      <c r="AF146" s="8"/>
      <c r="AI146" s="9"/>
      <c r="AN146" s="9"/>
      <c r="AP146" s="8"/>
      <c r="AQ146" s="10"/>
      <c r="AR146" s="10"/>
      <c r="AS146" s="8"/>
      <c r="AT146" s="8"/>
      <c r="AU146" s="8"/>
    </row>
    <row r="147" spans="20:47" x14ac:dyDescent="0.4">
      <c r="T147" s="5"/>
      <c r="U147" s="8"/>
      <c r="V147" s="8"/>
      <c r="X147" s="5"/>
      <c r="AB147" s="5"/>
      <c r="AC147" s="8"/>
      <c r="AD147" s="8"/>
      <c r="AE147" s="8"/>
      <c r="AF147" s="8"/>
      <c r="AI147" s="9"/>
      <c r="AN147" s="9"/>
      <c r="AP147" s="8"/>
      <c r="AQ147" s="10"/>
      <c r="AR147" s="10"/>
      <c r="AS147" s="8"/>
      <c r="AT147" s="8"/>
      <c r="AU147" s="8"/>
    </row>
    <row r="148" spans="20:47" x14ac:dyDescent="0.4">
      <c r="T148" s="5"/>
      <c r="U148" s="8"/>
      <c r="V148" s="8"/>
      <c r="X148" s="5"/>
      <c r="AB148" s="5"/>
      <c r="AC148" s="8"/>
      <c r="AD148" s="8"/>
      <c r="AE148" s="8"/>
      <c r="AF148" s="8"/>
      <c r="AI148" s="9"/>
      <c r="AN148" s="9"/>
      <c r="AP148" s="8"/>
      <c r="AQ148" s="10"/>
      <c r="AR148" s="10"/>
      <c r="AS148" s="8"/>
      <c r="AT148" s="8"/>
      <c r="AU148" s="8"/>
    </row>
    <row r="149" spans="20:47" x14ac:dyDescent="0.4">
      <c r="T149" s="5"/>
      <c r="U149" s="8"/>
      <c r="V149" s="8"/>
      <c r="X149" s="5"/>
      <c r="AB149" s="5"/>
      <c r="AC149" s="8"/>
      <c r="AD149" s="8"/>
      <c r="AE149" s="8"/>
      <c r="AF149" s="8"/>
      <c r="AI149" s="9"/>
      <c r="AN149" s="9"/>
      <c r="AP149" s="8"/>
      <c r="AQ149" s="10"/>
      <c r="AR149" s="10"/>
      <c r="AS149" s="8"/>
      <c r="AT149" s="8"/>
      <c r="AU149" s="8"/>
    </row>
    <row r="150" spans="20:47" x14ac:dyDescent="0.4">
      <c r="T150" s="5"/>
      <c r="U150" s="8"/>
      <c r="V150" s="8"/>
      <c r="X150" s="5"/>
      <c r="AB150" s="5"/>
      <c r="AC150" s="8"/>
      <c r="AD150" s="8"/>
      <c r="AE150" s="8"/>
      <c r="AF150" s="8"/>
      <c r="AI150" s="9"/>
      <c r="AN150" s="9"/>
      <c r="AP150" s="8"/>
      <c r="AQ150" s="10"/>
      <c r="AR150" s="10"/>
      <c r="AS150" s="8"/>
      <c r="AT150" s="8"/>
      <c r="AU150" s="8"/>
    </row>
    <row r="151" spans="20:47" x14ac:dyDescent="0.4">
      <c r="T151" s="5"/>
      <c r="U151" s="8"/>
      <c r="V151" s="8"/>
      <c r="X151" s="5"/>
      <c r="AB151" s="5"/>
      <c r="AC151" s="8"/>
      <c r="AD151" s="8"/>
      <c r="AE151" s="8"/>
      <c r="AF151" s="8"/>
      <c r="AI151" s="9"/>
      <c r="AN151" s="9"/>
      <c r="AP151" s="8"/>
      <c r="AQ151" s="10"/>
      <c r="AR151" s="10"/>
      <c r="AS151" s="8"/>
      <c r="AT151" s="8"/>
      <c r="AU151" s="8"/>
    </row>
    <row r="152" spans="20:47" x14ac:dyDescent="0.4">
      <c r="T152" s="5"/>
      <c r="U152" s="8"/>
      <c r="V152" s="8"/>
      <c r="X152" s="5"/>
      <c r="AB152" s="5"/>
      <c r="AC152" s="8"/>
      <c r="AD152" s="8"/>
      <c r="AE152" s="8"/>
      <c r="AF152" s="8"/>
      <c r="AI152" s="9"/>
      <c r="AN152" s="9"/>
      <c r="AP152" s="8"/>
      <c r="AQ152" s="10"/>
      <c r="AR152" s="10"/>
      <c r="AS152" s="8"/>
      <c r="AT152" s="8"/>
      <c r="AU152" s="8"/>
    </row>
    <row r="153" spans="20:47" x14ac:dyDescent="0.4">
      <c r="T153" s="5"/>
      <c r="U153" s="8"/>
      <c r="V153" s="8"/>
      <c r="X153" s="5"/>
      <c r="AB153" s="5"/>
      <c r="AC153" s="8"/>
      <c r="AD153" s="8"/>
      <c r="AE153" s="8"/>
      <c r="AF153" s="8"/>
      <c r="AI153" s="9"/>
      <c r="AN153" s="9"/>
      <c r="AP153" s="8"/>
      <c r="AQ153" s="10"/>
      <c r="AR153" s="10"/>
      <c r="AS153" s="8"/>
      <c r="AT153" s="8"/>
      <c r="AU153" s="8"/>
    </row>
    <row r="154" spans="20:47" x14ac:dyDescent="0.4">
      <c r="T154" s="5"/>
      <c r="U154" s="8"/>
      <c r="V154" s="8"/>
      <c r="X154" s="5"/>
      <c r="AB154" s="5"/>
      <c r="AC154" s="8"/>
      <c r="AD154" s="8"/>
      <c r="AE154" s="8"/>
      <c r="AF154" s="8"/>
      <c r="AI154" s="9"/>
      <c r="AN154" s="9"/>
      <c r="AP154" s="8"/>
      <c r="AQ154" s="10"/>
      <c r="AR154" s="10"/>
      <c r="AS154" s="8"/>
      <c r="AT154" s="8"/>
      <c r="AU154" s="8"/>
    </row>
    <row r="155" spans="20:47" x14ac:dyDescent="0.4">
      <c r="T155" s="5"/>
      <c r="U155" s="8"/>
      <c r="V155" s="8"/>
      <c r="X155" s="5"/>
      <c r="AB155" s="5"/>
      <c r="AC155" s="8"/>
      <c r="AD155" s="8"/>
      <c r="AE155" s="8"/>
      <c r="AF155" s="8"/>
      <c r="AI155" s="9"/>
      <c r="AN155" s="9"/>
      <c r="AP155" s="8"/>
      <c r="AQ155" s="10"/>
      <c r="AR155" s="10"/>
      <c r="AS155" s="8"/>
      <c r="AT155" s="8"/>
      <c r="AU155" s="8"/>
    </row>
    <row r="156" spans="20:47" x14ac:dyDescent="0.4">
      <c r="T156" s="5"/>
      <c r="U156" s="8"/>
      <c r="V156" s="8"/>
      <c r="X156" s="5"/>
      <c r="AB156" s="5"/>
      <c r="AC156" s="8"/>
      <c r="AD156" s="8"/>
      <c r="AE156" s="8"/>
      <c r="AF156" s="8"/>
      <c r="AI156" s="9"/>
      <c r="AN156" s="9"/>
      <c r="AP156" s="8"/>
      <c r="AQ156" s="10"/>
      <c r="AR156" s="10"/>
      <c r="AS156" s="8"/>
      <c r="AT156" s="8"/>
      <c r="AU156" s="8"/>
    </row>
    <row r="157" spans="20:47" x14ac:dyDescent="0.4">
      <c r="T157" s="5"/>
      <c r="U157" s="8"/>
      <c r="V157" s="8"/>
      <c r="X157" s="5"/>
      <c r="AB157" s="5"/>
      <c r="AC157" s="8"/>
      <c r="AD157" s="8"/>
      <c r="AE157" s="8"/>
      <c r="AF157" s="8"/>
      <c r="AI157" s="9"/>
      <c r="AN157" s="9"/>
      <c r="AP157" s="8"/>
      <c r="AQ157" s="10"/>
      <c r="AR157" s="10"/>
      <c r="AS157" s="8"/>
      <c r="AT157" s="8"/>
      <c r="AU157" s="8"/>
    </row>
    <row r="158" spans="20:47" x14ac:dyDescent="0.4">
      <c r="T158" s="5"/>
      <c r="U158" s="8"/>
      <c r="V158" s="8"/>
      <c r="X158" s="5"/>
      <c r="AB158" s="5"/>
      <c r="AC158" s="8"/>
      <c r="AD158" s="8"/>
      <c r="AE158" s="8"/>
      <c r="AF158" s="8"/>
      <c r="AI158" s="9"/>
      <c r="AN158" s="9"/>
      <c r="AP158" s="8"/>
      <c r="AQ158" s="10"/>
      <c r="AR158" s="10"/>
      <c r="AS158" s="8"/>
      <c r="AT158" s="8"/>
      <c r="AU158" s="8"/>
    </row>
    <row r="159" spans="20:47" x14ac:dyDescent="0.4">
      <c r="T159" s="5"/>
      <c r="U159" s="8"/>
      <c r="V159" s="8"/>
      <c r="X159" s="5"/>
      <c r="AB159" s="5"/>
      <c r="AC159" s="8"/>
      <c r="AD159" s="8"/>
      <c r="AE159" s="8"/>
      <c r="AF159" s="8"/>
      <c r="AI159" s="9"/>
      <c r="AN159" s="9"/>
      <c r="AP159" s="8"/>
      <c r="AQ159" s="10"/>
      <c r="AR159" s="10"/>
      <c r="AS159" s="8"/>
      <c r="AT159" s="8"/>
      <c r="AU159" s="8"/>
    </row>
    <row r="160" spans="20:47" x14ac:dyDescent="0.4">
      <c r="T160" s="5"/>
      <c r="U160" s="8"/>
      <c r="V160" s="8"/>
      <c r="X160" s="5"/>
      <c r="AB160" s="5"/>
      <c r="AC160" s="8"/>
      <c r="AD160" s="8"/>
      <c r="AE160" s="8"/>
      <c r="AF160" s="8"/>
      <c r="AI160" s="9"/>
      <c r="AN160" s="9"/>
      <c r="AP160" s="8"/>
      <c r="AQ160" s="10"/>
      <c r="AR160" s="10"/>
      <c r="AS160" s="8"/>
      <c r="AT160" s="8"/>
      <c r="AU160" s="8"/>
    </row>
    <row r="161" spans="20:47" x14ac:dyDescent="0.4">
      <c r="T161" s="5"/>
      <c r="U161" s="8"/>
      <c r="V161" s="8"/>
      <c r="X161" s="5"/>
      <c r="AB161" s="5"/>
      <c r="AC161" s="8"/>
      <c r="AD161" s="8"/>
      <c r="AE161" s="8"/>
      <c r="AF161" s="8"/>
      <c r="AI161" s="9"/>
      <c r="AN161" s="9"/>
      <c r="AP161" s="8"/>
      <c r="AQ161" s="10"/>
      <c r="AR161" s="10"/>
      <c r="AS161" s="8"/>
      <c r="AT161" s="8"/>
      <c r="AU161" s="8"/>
    </row>
    <row r="162" spans="20:47" x14ac:dyDescent="0.4">
      <c r="T162" s="5"/>
      <c r="U162" s="8"/>
      <c r="V162" s="8"/>
      <c r="X162" s="5"/>
      <c r="AB162" s="5"/>
      <c r="AC162" s="8"/>
      <c r="AD162" s="8"/>
      <c r="AE162" s="8"/>
      <c r="AF162" s="8"/>
      <c r="AI162" s="9"/>
      <c r="AN162" s="9"/>
      <c r="AP162" s="8"/>
      <c r="AQ162" s="10"/>
      <c r="AR162" s="10"/>
      <c r="AS162" s="8"/>
      <c r="AT162" s="8"/>
      <c r="AU162" s="8"/>
    </row>
    <row r="163" spans="20:47" x14ac:dyDescent="0.4">
      <c r="T163" s="5"/>
      <c r="U163" s="8"/>
      <c r="V163" s="8"/>
      <c r="X163" s="5"/>
      <c r="AB163" s="5"/>
      <c r="AC163" s="8"/>
      <c r="AD163" s="8"/>
      <c r="AE163" s="8"/>
      <c r="AF163" s="8"/>
      <c r="AI163" s="9"/>
      <c r="AN163" s="9"/>
      <c r="AP163" s="8"/>
      <c r="AQ163" s="10"/>
      <c r="AR163" s="10"/>
      <c r="AS163" s="8"/>
      <c r="AT163" s="8"/>
      <c r="AU163" s="8"/>
    </row>
    <row r="164" spans="20:47" x14ac:dyDescent="0.4">
      <c r="T164" s="5"/>
      <c r="U164" s="8"/>
      <c r="V164" s="8"/>
      <c r="X164" s="5"/>
      <c r="AB164" s="5"/>
      <c r="AC164" s="8"/>
      <c r="AD164" s="8"/>
      <c r="AE164" s="8"/>
      <c r="AF164" s="8"/>
      <c r="AI164" s="9"/>
      <c r="AN164" s="9"/>
      <c r="AP164" s="8"/>
      <c r="AQ164" s="10"/>
      <c r="AR164" s="10"/>
      <c r="AS164" s="8"/>
      <c r="AT164" s="8"/>
      <c r="AU164" s="8"/>
    </row>
    <row r="165" spans="20:47" x14ac:dyDescent="0.4">
      <c r="T165" s="5"/>
      <c r="U165" s="8"/>
      <c r="V165" s="8"/>
      <c r="X165" s="5"/>
      <c r="AB165" s="5"/>
      <c r="AC165" s="8"/>
      <c r="AD165" s="8"/>
      <c r="AE165" s="8"/>
      <c r="AF165" s="8"/>
      <c r="AI165" s="9"/>
      <c r="AN165" s="9"/>
      <c r="AP165" s="8"/>
      <c r="AQ165" s="10"/>
      <c r="AR165" s="10"/>
      <c r="AS165" s="8"/>
      <c r="AT165" s="8"/>
      <c r="AU165" s="8"/>
    </row>
    <row r="166" spans="20:47" x14ac:dyDescent="0.4">
      <c r="T166" s="5"/>
      <c r="U166" s="8"/>
      <c r="V166" s="8"/>
      <c r="X166" s="5"/>
      <c r="AB166" s="5"/>
      <c r="AC166" s="8"/>
      <c r="AD166" s="8"/>
      <c r="AE166" s="8"/>
      <c r="AF166" s="8"/>
      <c r="AI166" s="9"/>
      <c r="AN166" s="9"/>
      <c r="AP166" s="8"/>
      <c r="AQ166" s="10"/>
      <c r="AR166" s="10"/>
      <c r="AS166" s="8"/>
      <c r="AT166" s="8"/>
      <c r="AU166" s="8"/>
    </row>
    <row r="167" spans="20:47" x14ac:dyDescent="0.4">
      <c r="T167" s="5"/>
      <c r="U167" s="8"/>
      <c r="V167" s="8"/>
      <c r="X167" s="5"/>
      <c r="AB167" s="5"/>
      <c r="AC167" s="8"/>
      <c r="AD167" s="8"/>
      <c r="AE167" s="8"/>
      <c r="AF167" s="8"/>
      <c r="AI167" s="9"/>
      <c r="AN167" s="9"/>
      <c r="AP167" s="8"/>
      <c r="AQ167" s="10"/>
      <c r="AR167" s="10"/>
      <c r="AS167" s="8"/>
      <c r="AT167" s="8"/>
      <c r="AU167" s="8"/>
    </row>
    <row r="168" spans="20:47" x14ac:dyDescent="0.4">
      <c r="T168" s="5"/>
      <c r="U168" s="8"/>
      <c r="V168" s="8"/>
      <c r="X168" s="5"/>
      <c r="AB168" s="5"/>
      <c r="AC168" s="8"/>
      <c r="AD168" s="8"/>
      <c r="AE168" s="8"/>
      <c r="AF168" s="8"/>
      <c r="AI168" s="9"/>
      <c r="AN168" s="9"/>
      <c r="AP168" s="8"/>
      <c r="AQ168" s="10"/>
      <c r="AR168" s="10"/>
      <c r="AS168" s="8"/>
      <c r="AT168" s="8"/>
      <c r="AU168" s="8"/>
    </row>
    <row r="169" spans="20:47" x14ac:dyDescent="0.4">
      <c r="T169" s="5"/>
      <c r="U169" s="8"/>
      <c r="V169" s="8"/>
      <c r="X169" s="5"/>
      <c r="AB169" s="5"/>
      <c r="AC169" s="8"/>
      <c r="AD169" s="8"/>
      <c r="AE169" s="8"/>
      <c r="AF169" s="8"/>
      <c r="AI169" s="9"/>
      <c r="AN169" s="9"/>
      <c r="AP169" s="8"/>
      <c r="AQ169" s="10"/>
      <c r="AR169" s="10"/>
      <c r="AS169" s="8"/>
      <c r="AT169" s="8"/>
      <c r="AU169" s="8"/>
    </row>
    <row r="170" spans="20:47" x14ac:dyDescent="0.4">
      <c r="T170" s="5"/>
      <c r="U170" s="8"/>
      <c r="V170" s="8"/>
      <c r="X170" s="5"/>
      <c r="AB170" s="5"/>
      <c r="AC170" s="8"/>
      <c r="AD170" s="8"/>
      <c r="AE170" s="8"/>
      <c r="AF170" s="8"/>
      <c r="AI170" s="9"/>
      <c r="AN170" s="9"/>
      <c r="AP170" s="8"/>
      <c r="AQ170" s="10"/>
      <c r="AR170" s="10"/>
      <c r="AS170" s="8"/>
      <c r="AT170" s="8"/>
      <c r="AU170" s="8"/>
    </row>
    <row r="171" spans="20:47" x14ac:dyDescent="0.4">
      <c r="T171" s="5"/>
      <c r="U171" s="8"/>
      <c r="V171" s="8"/>
      <c r="X171" s="5"/>
      <c r="AB171" s="5"/>
      <c r="AC171" s="8"/>
      <c r="AD171" s="8"/>
      <c r="AE171" s="8"/>
      <c r="AF171" s="8"/>
      <c r="AI171" s="9"/>
      <c r="AN171" s="9"/>
      <c r="AP171" s="8"/>
      <c r="AQ171" s="10"/>
      <c r="AR171" s="10"/>
      <c r="AS171" s="8"/>
      <c r="AT171" s="8"/>
      <c r="AU171" s="8"/>
    </row>
    <row r="172" spans="20:47" x14ac:dyDescent="0.4">
      <c r="T172" s="5"/>
      <c r="U172" s="8"/>
      <c r="V172" s="8"/>
      <c r="X172" s="5"/>
      <c r="AB172" s="5"/>
      <c r="AC172" s="8"/>
      <c r="AD172" s="8"/>
      <c r="AE172" s="8"/>
      <c r="AF172" s="8"/>
      <c r="AI172" s="9"/>
      <c r="AN172" s="9"/>
      <c r="AP172" s="8"/>
      <c r="AQ172" s="10"/>
      <c r="AR172" s="10"/>
      <c r="AS172" s="8"/>
      <c r="AT172" s="8"/>
      <c r="AU172" s="8"/>
    </row>
    <row r="173" spans="20:47" x14ac:dyDescent="0.4">
      <c r="T173" s="5"/>
      <c r="U173" s="8"/>
      <c r="V173" s="8"/>
      <c r="X173" s="5"/>
      <c r="AB173" s="5"/>
      <c r="AC173" s="8"/>
      <c r="AD173" s="8"/>
      <c r="AE173" s="8"/>
      <c r="AF173" s="8"/>
      <c r="AI173" s="9"/>
      <c r="AN173" s="9"/>
      <c r="AP173" s="8"/>
      <c r="AQ173" s="10"/>
      <c r="AR173" s="10"/>
      <c r="AS173" s="8"/>
      <c r="AT173" s="8"/>
      <c r="AU173" s="8"/>
    </row>
    <row r="174" spans="20:47" x14ac:dyDescent="0.4">
      <c r="T174" s="5"/>
      <c r="U174" s="8"/>
      <c r="V174" s="8"/>
      <c r="X174" s="5"/>
      <c r="AB174" s="5"/>
      <c r="AC174" s="8"/>
      <c r="AD174" s="8"/>
      <c r="AE174" s="8"/>
      <c r="AF174" s="8"/>
      <c r="AI174" s="9"/>
      <c r="AN174" s="9"/>
      <c r="AP174" s="8"/>
      <c r="AQ174" s="10"/>
      <c r="AR174" s="10"/>
      <c r="AS174" s="8"/>
      <c r="AT174" s="8"/>
      <c r="AU174" s="8"/>
    </row>
    <row r="175" spans="20:47" x14ac:dyDescent="0.4">
      <c r="T175" s="5"/>
      <c r="U175" s="8"/>
      <c r="V175" s="8"/>
      <c r="X175" s="5"/>
      <c r="AB175" s="5"/>
      <c r="AC175" s="8"/>
      <c r="AD175" s="8"/>
      <c r="AE175" s="8"/>
      <c r="AF175" s="8"/>
      <c r="AI175" s="9"/>
      <c r="AN175" s="9"/>
      <c r="AP175" s="8"/>
      <c r="AQ175" s="10"/>
      <c r="AR175" s="10"/>
      <c r="AS175" s="8"/>
      <c r="AT175" s="8"/>
      <c r="AU175" s="8"/>
    </row>
    <row r="176" spans="20:47" x14ac:dyDescent="0.4">
      <c r="T176" s="5"/>
      <c r="U176" s="8"/>
      <c r="V176" s="8"/>
      <c r="X176" s="5"/>
      <c r="AB176" s="5"/>
      <c r="AC176" s="8"/>
      <c r="AD176" s="8"/>
      <c r="AE176" s="8"/>
      <c r="AF176" s="8"/>
      <c r="AI176" s="9"/>
      <c r="AN176" s="9"/>
      <c r="AP176" s="8"/>
      <c r="AQ176" s="10"/>
      <c r="AR176" s="10"/>
      <c r="AS176" s="8"/>
      <c r="AT176" s="8"/>
      <c r="AU176" s="8"/>
    </row>
    <row r="177" spans="20:47" x14ac:dyDescent="0.4">
      <c r="T177" s="5"/>
      <c r="U177" s="8"/>
      <c r="V177" s="8"/>
      <c r="X177" s="5"/>
      <c r="AB177" s="5"/>
      <c r="AC177" s="8"/>
      <c r="AD177" s="8"/>
      <c r="AE177" s="8"/>
      <c r="AF177" s="8"/>
      <c r="AI177" s="9"/>
      <c r="AN177" s="9"/>
      <c r="AP177" s="8"/>
      <c r="AQ177" s="10"/>
      <c r="AR177" s="10"/>
      <c r="AS177" s="8"/>
      <c r="AT177" s="8"/>
      <c r="AU177" s="8"/>
    </row>
    <row r="178" spans="20:47" x14ac:dyDescent="0.4">
      <c r="T178" s="5"/>
      <c r="U178" s="8"/>
      <c r="V178" s="8"/>
      <c r="X178" s="5"/>
      <c r="AB178" s="5"/>
      <c r="AC178" s="8"/>
      <c r="AD178" s="8"/>
      <c r="AE178" s="8"/>
      <c r="AF178" s="8"/>
      <c r="AI178" s="9"/>
      <c r="AN178" s="9"/>
      <c r="AP178" s="8"/>
      <c r="AQ178" s="10"/>
      <c r="AR178" s="10"/>
      <c r="AS178" s="8"/>
      <c r="AT178" s="8"/>
      <c r="AU178" s="8"/>
    </row>
    <row r="179" spans="20:47" x14ac:dyDescent="0.4">
      <c r="T179" s="5"/>
      <c r="U179" s="8"/>
      <c r="V179" s="8"/>
      <c r="X179" s="5"/>
      <c r="AB179" s="5"/>
      <c r="AC179" s="8"/>
      <c r="AD179" s="8"/>
      <c r="AE179" s="8"/>
      <c r="AF179" s="8"/>
      <c r="AI179" s="9"/>
      <c r="AN179" s="9"/>
      <c r="AP179" s="8"/>
      <c r="AQ179" s="10"/>
      <c r="AR179" s="10"/>
      <c r="AS179" s="8"/>
      <c r="AT179" s="8"/>
      <c r="AU179" s="8"/>
    </row>
    <row r="180" spans="20:47" x14ac:dyDescent="0.4">
      <c r="T180" s="5"/>
      <c r="U180" s="8"/>
      <c r="V180" s="8"/>
      <c r="X180" s="5"/>
      <c r="AB180" s="5"/>
      <c r="AC180" s="8"/>
      <c r="AD180" s="8"/>
      <c r="AE180" s="8"/>
      <c r="AF180" s="8"/>
      <c r="AI180" s="9"/>
      <c r="AN180" s="9"/>
      <c r="AP180" s="8"/>
      <c r="AQ180" s="10"/>
      <c r="AR180" s="10"/>
      <c r="AS180" s="8"/>
      <c r="AT180" s="8"/>
      <c r="AU180" s="8"/>
    </row>
    <row r="181" spans="20:47" x14ac:dyDescent="0.4">
      <c r="T181" s="5"/>
      <c r="U181" s="8"/>
      <c r="V181" s="8"/>
      <c r="X181" s="5"/>
      <c r="AB181" s="5"/>
      <c r="AC181" s="8"/>
      <c r="AD181" s="8"/>
      <c r="AE181" s="8"/>
      <c r="AF181" s="8"/>
      <c r="AI181" s="9"/>
      <c r="AN181" s="9"/>
      <c r="AP181" s="8"/>
      <c r="AQ181" s="10"/>
      <c r="AR181" s="10"/>
      <c r="AS181" s="8"/>
      <c r="AT181" s="8"/>
      <c r="AU181" s="8"/>
    </row>
    <row r="182" spans="20:47" x14ac:dyDescent="0.4">
      <c r="T182" s="5"/>
      <c r="U182" s="8"/>
      <c r="V182" s="8"/>
      <c r="X182" s="5"/>
      <c r="AB182" s="5"/>
      <c r="AC182" s="8"/>
      <c r="AD182" s="8"/>
      <c r="AE182" s="8"/>
      <c r="AF182" s="8"/>
      <c r="AI182" s="9"/>
      <c r="AN182" s="9"/>
      <c r="AP182" s="8"/>
      <c r="AQ182" s="10"/>
      <c r="AR182" s="10"/>
      <c r="AS182" s="8"/>
      <c r="AT182" s="8"/>
      <c r="AU182" s="8"/>
    </row>
    <row r="183" spans="20:47" x14ac:dyDescent="0.4">
      <c r="T183" s="5"/>
      <c r="U183" s="8"/>
      <c r="V183" s="8"/>
      <c r="X183" s="5"/>
      <c r="AB183" s="5"/>
      <c r="AC183" s="8"/>
      <c r="AD183" s="8"/>
      <c r="AE183" s="8"/>
      <c r="AF183" s="8"/>
      <c r="AI183" s="9"/>
      <c r="AN183" s="9"/>
      <c r="AP183" s="8"/>
      <c r="AQ183" s="10"/>
      <c r="AR183" s="10"/>
      <c r="AS183" s="8"/>
      <c r="AT183" s="8"/>
      <c r="AU183" s="8"/>
    </row>
    <row r="184" spans="20:47" x14ac:dyDescent="0.4">
      <c r="T184" s="5"/>
      <c r="U184" s="8"/>
      <c r="V184" s="8"/>
      <c r="X184" s="5"/>
      <c r="AB184" s="5"/>
      <c r="AC184" s="8"/>
      <c r="AD184" s="8"/>
      <c r="AE184" s="8"/>
      <c r="AF184" s="8"/>
      <c r="AI184" s="9"/>
      <c r="AN184" s="9"/>
      <c r="AP184" s="8"/>
      <c r="AQ184" s="10"/>
      <c r="AR184" s="10"/>
      <c r="AS184" s="8"/>
      <c r="AT184" s="8"/>
      <c r="AU184" s="8"/>
    </row>
    <row r="185" spans="20:47" x14ac:dyDescent="0.4">
      <c r="T185" s="5"/>
      <c r="U185" s="8"/>
      <c r="V185" s="8"/>
      <c r="X185" s="5"/>
      <c r="AB185" s="5"/>
      <c r="AC185" s="8"/>
      <c r="AD185" s="8"/>
      <c r="AE185" s="8"/>
      <c r="AF185" s="8"/>
      <c r="AI185" s="9"/>
      <c r="AN185" s="9"/>
      <c r="AP185" s="8"/>
      <c r="AQ185" s="10"/>
      <c r="AR185" s="10"/>
      <c r="AS185" s="8"/>
      <c r="AT185" s="8"/>
      <c r="AU185" s="8"/>
    </row>
    <row r="186" spans="20:47" x14ac:dyDescent="0.4">
      <c r="T186" s="5"/>
      <c r="U186" s="8"/>
      <c r="V186" s="8"/>
      <c r="X186" s="5"/>
      <c r="AB186" s="5"/>
      <c r="AC186" s="8"/>
      <c r="AD186" s="8"/>
      <c r="AE186" s="8"/>
      <c r="AF186" s="8"/>
      <c r="AI186" s="9"/>
      <c r="AN186" s="9"/>
      <c r="AP186" s="8"/>
      <c r="AQ186" s="10"/>
      <c r="AR186" s="10"/>
      <c r="AS186" s="8"/>
      <c r="AT186" s="8"/>
      <c r="AU186" s="8"/>
    </row>
    <row r="187" spans="20:47" x14ac:dyDescent="0.4">
      <c r="T187" s="5"/>
      <c r="U187" s="8"/>
      <c r="V187" s="8"/>
      <c r="X187" s="5"/>
      <c r="AB187" s="5"/>
      <c r="AC187" s="8"/>
      <c r="AD187" s="8"/>
      <c r="AE187" s="8"/>
      <c r="AF187" s="8"/>
      <c r="AI187" s="9"/>
      <c r="AN187" s="9"/>
      <c r="AP187" s="8"/>
      <c r="AQ187" s="10"/>
      <c r="AR187" s="10"/>
      <c r="AS187" s="8"/>
      <c r="AT187" s="8"/>
      <c r="AU187" s="8"/>
    </row>
    <row r="188" spans="20:47" x14ac:dyDescent="0.4">
      <c r="T188" s="5"/>
      <c r="U188" s="8"/>
      <c r="V188" s="8"/>
      <c r="X188" s="5"/>
      <c r="AB188" s="5"/>
      <c r="AC188" s="8"/>
      <c r="AD188" s="8"/>
      <c r="AE188" s="8"/>
      <c r="AF188" s="8"/>
      <c r="AI188" s="9"/>
      <c r="AN188" s="9"/>
      <c r="AP188" s="8"/>
      <c r="AQ188" s="10"/>
      <c r="AR188" s="10"/>
      <c r="AS188" s="8"/>
      <c r="AT188" s="8"/>
      <c r="AU188" s="8"/>
    </row>
    <row r="189" spans="20:47" x14ac:dyDescent="0.4">
      <c r="T189" s="5"/>
      <c r="U189" s="8"/>
      <c r="V189" s="8"/>
      <c r="X189" s="5"/>
      <c r="AB189" s="5"/>
      <c r="AC189" s="8"/>
      <c r="AD189" s="8"/>
      <c r="AE189" s="8"/>
      <c r="AF189" s="8"/>
      <c r="AI189" s="9"/>
      <c r="AN189" s="9"/>
      <c r="AP189" s="8"/>
      <c r="AQ189" s="10"/>
      <c r="AR189" s="10"/>
      <c r="AS189" s="8"/>
      <c r="AT189" s="8"/>
      <c r="AU189" s="8"/>
    </row>
    <row r="190" spans="20:47" x14ac:dyDescent="0.4">
      <c r="T190" s="5"/>
      <c r="U190" s="8"/>
      <c r="V190" s="8"/>
      <c r="X190" s="5"/>
      <c r="AB190" s="5"/>
      <c r="AC190" s="8"/>
      <c r="AD190" s="8"/>
      <c r="AE190" s="8"/>
      <c r="AF190" s="8"/>
      <c r="AI190" s="9"/>
      <c r="AN190" s="9"/>
      <c r="AP190" s="8"/>
      <c r="AQ190" s="10"/>
      <c r="AR190" s="10"/>
      <c r="AS190" s="8"/>
      <c r="AT190" s="8"/>
      <c r="AU190" s="8"/>
    </row>
    <row r="191" spans="20:47" x14ac:dyDescent="0.4">
      <c r="T191" s="5"/>
      <c r="U191" s="8"/>
      <c r="V191" s="8"/>
      <c r="X191" s="5"/>
      <c r="AB191" s="5"/>
      <c r="AC191" s="8"/>
      <c r="AD191" s="8"/>
      <c r="AE191" s="8"/>
      <c r="AF191" s="8"/>
      <c r="AI191" s="9"/>
      <c r="AN191" s="9"/>
      <c r="AP191" s="8"/>
      <c r="AQ191" s="10"/>
      <c r="AR191" s="10"/>
      <c r="AS191" s="8"/>
      <c r="AT191" s="8"/>
      <c r="AU191" s="8"/>
    </row>
    <row r="192" spans="20:47" x14ac:dyDescent="0.4">
      <c r="T192" s="5"/>
      <c r="U192" s="8"/>
      <c r="V192" s="8"/>
      <c r="X192" s="5"/>
      <c r="AB192" s="5"/>
      <c r="AC192" s="8"/>
      <c r="AD192" s="8"/>
      <c r="AE192" s="8"/>
      <c r="AF192" s="8"/>
      <c r="AI192" s="9"/>
      <c r="AN192" s="9"/>
      <c r="AP192" s="8"/>
      <c r="AQ192" s="10"/>
      <c r="AR192" s="10"/>
      <c r="AS192" s="8"/>
      <c r="AT192" s="8"/>
      <c r="AU192" s="8"/>
    </row>
    <row r="193" spans="20:47" x14ac:dyDescent="0.4">
      <c r="T193" s="5"/>
      <c r="U193" s="8"/>
      <c r="V193" s="8"/>
      <c r="X193" s="5"/>
      <c r="AB193" s="5"/>
      <c r="AC193" s="8"/>
      <c r="AD193" s="8"/>
      <c r="AE193" s="8"/>
      <c r="AF193" s="8"/>
      <c r="AI193" s="9"/>
      <c r="AN193" s="9"/>
      <c r="AP193" s="8"/>
      <c r="AQ193" s="10"/>
      <c r="AR193" s="10"/>
      <c r="AS193" s="8"/>
      <c r="AT193" s="8"/>
      <c r="AU193" s="8"/>
    </row>
    <row r="194" spans="20:47" x14ac:dyDescent="0.4">
      <c r="T194" s="5"/>
      <c r="U194" s="8"/>
      <c r="V194" s="8"/>
      <c r="X194" s="5"/>
      <c r="AB194" s="5"/>
      <c r="AC194" s="8"/>
      <c r="AD194" s="8"/>
      <c r="AE194" s="8"/>
      <c r="AF194" s="8"/>
      <c r="AI194" s="9"/>
      <c r="AN194" s="9"/>
      <c r="AP194" s="8"/>
      <c r="AQ194" s="10"/>
      <c r="AR194" s="10"/>
      <c r="AS194" s="8"/>
      <c r="AT194" s="8"/>
      <c r="AU194" s="8"/>
    </row>
    <row r="195" spans="20:47" x14ac:dyDescent="0.4">
      <c r="T195" s="5"/>
      <c r="U195" s="8"/>
      <c r="V195" s="8"/>
      <c r="X195" s="5"/>
      <c r="AB195" s="5"/>
      <c r="AC195" s="8"/>
      <c r="AD195" s="8"/>
      <c r="AE195" s="8"/>
      <c r="AF195" s="8"/>
      <c r="AI195" s="9"/>
      <c r="AN195" s="9"/>
      <c r="AP195" s="8"/>
      <c r="AQ195" s="10"/>
      <c r="AR195" s="10"/>
      <c r="AS195" s="8"/>
      <c r="AT195" s="8"/>
      <c r="AU195" s="8"/>
    </row>
    <row r="196" spans="20:47" x14ac:dyDescent="0.4">
      <c r="T196" s="5"/>
      <c r="U196" s="8"/>
      <c r="V196" s="8"/>
      <c r="X196" s="5"/>
      <c r="AB196" s="5"/>
      <c r="AC196" s="8"/>
      <c r="AD196" s="8"/>
      <c r="AE196" s="8"/>
      <c r="AF196" s="8"/>
      <c r="AI196" s="9"/>
      <c r="AN196" s="9"/>
      <c r="AP196" s="8"/>
      <c r="AQ196" s="10"/>
      <c r="AR196" s="10"/>
      <c r="AS196" s="8"/>
      <c r="AT196" s="8"/>
      <c r="AU196" s="8"/>
    </row>
    <row r="197" spans="20:47" x14ac:dyDescent="0.4">
      <c r="T197" s="5"/>
      <c r="U197" s="8"/>
      <c r="V197" s="8"/>
      <c r="X197" s="5"/>
      <c r="AB197" s="5"/>
      <c r="AC197" s="8"/>
      <c r="AD197" s="8"/>
      <c r="AE197" s="8"/>
      <c r="AF197" s="8"/>
      <c r="AI197" s="9"/>
      <c r="AN197" s="9"/>
      <c r="AP197" s="8"/>
      <c r="AQ197" s="10"/>
      <c r="AR197" s="10"/>
      <c r="AS197" s="8"/>
      <c r="AT197" s="8"/>
      <c r="AU197" s="8"/>
    </row>
    <row r="198" spans="20:47" x14ac:dyDescent="0.4">
      <c r="T198" s="5"/>
      <c r="U198" s="8"/>
      <c r="V198" s="8"/>
      <c r="X198" s="5"/>
      <c r="AB198" s="5"/>
      <c r="AC198" s="8"/>
      <c r="AD198" s="8"/>
      <c r="AE198" s="8"/>
      <c r="AF198" s="8"/>
      <c r="AI198" s="9"/>
      <c r="AN198" s="9"/>
      <c r="AP198" s="8"/>
      <c r="AQ198" s="10"/>
      <c r="AR198" s="10"/>
      <c r="AS198" s="8"/>
      <c r="AT198" s="8"/>
      <c r="AU198" s="8"/>
    </row>
    <row r="199" spans="20:47" x14ac:dyDescent="0.4">
      <c r="T199" s="5"/>
      <c r="U199" s="8"/>
      <c r="V199" s="8"/>
      <c r="X199" s="5"/>
      <c r="AB199" s="5"/>
      <c r="AC199" s="8"/>
      <c r="AD199" s="8"/>
      <c r="AE199" s="8"/>
      <c r="AF199" s="8"/>
      <c r="AI199" s="9"/>
      <c r="AN199" s="9"/>
      <c r="AP199" s="8"/>
      <c r="AQ199" s="10"/>
      <c r="AR199" s="10"/>
      <c r="AS199" s="8"/>
      <c r="AT199" s="8"/>
      <c r="AU199" s="8"/>
    </row>
    <row r="200" spans="20:47" x14ac:dyDescent="0.4">
      <c r="T200" s="5"/>
      <c r="U200" s="8"/>
      <c r="V200" s="8"/>
      <c r="X200" s="5"/>
      <c r="AB200" s="5"/>
      <c r="AC200" s="8"/>
      <c r="AD200" s="8"/>
      <c r="AE200" s="8"/>
      <c r="AF200" s="8"/>
      <c r="AI200" s="9"/>
      <c r="AN200" s="9"/>
      <c r="AP200" s="8"/>
      <c r="AQ200" s="10"/>
      <c r="AR200" s="10"/>
      <c r="AS200" s="8"/>
      <c r="AT200" s="8"/>
      <c r="AU200" s="8"/>
    </row>
    <row r="201" spans="20:47" x14ac:dyDescent="0.4">
      <c r="T201" s="5"/>
      <c r="U201" s="8"/>
      <c r="V201" s="8"/>
      <c r="X201" s="5"/>
      <c r="AB201" s="5"/>
      <c r="AC201" s="8"/>
      <c r="AD201" s="8"/>
      <c r="AE201" s="8"/>
      <c r="AF201" s="8"/>
      <c r="AI201" s="9"/>
      <c r="AN201" s="9"/>
      <c r="AP201" s="8"/>
      <c r="AQ201" s="10"/>
      <c r="AR201" s="10"/>
      <c r="AS201" s="8"/>
      <c r="AT201" s="8"/>
      <c r="AU201" s="8"/>
    </row>
    <row r="202" spans="20:47" x14ac:dyDescent="0.4">
      <c r="T202" s="5"/>
      <c r="U202" s="8"/>
      <c r="V202" s="8"/>
      <c r="X202" s="5"/>
      <c r="AB202" s="5"/>
      <c r="AC202" s="8"/>
      <c r="AD202" s="8"/>
      <c r="AE202" s="8"/>
      <c r="AF202" s="8"/>
      <c r="AI202" s="9"/>
      <c r="AN202" s="9"/>
      <c r="AP202" s="8"/>
      <c r="AQ202" s="10"/>
      <c r="AR202" s="10"/>
      <c r="AS202" s="8"/>
      <c r="AT202" s="8"/>
      <c r="AU202" s="8"/>
    </row>
    <row r="203" spans="20:47" x14ac:dyDescent="0.4">
      <c r="T203" s="5"/>
      <c r="U203" s="8"/>
      <c r="V203" s="8"/>
      <c r="X203" s="5"/>
      <c r="AB203" s="5"/>
      <c r="AC203" s="8"/>
      <c r="AD203" s="8"/>
      <c r="AE203" s="8"/>
      <c r="AF203" s="8"/>
      <c r="AI203" s="9"/>
      <c r="AN203" s="9"/>
      <c r="AP203" s="8"/>
      <c r="AQ203" s="10"/>
      <c r="AR203" s="10"/>
      <c r="AS203" s="8"/>
      <c r="AT203" s="8"/>
      <c r="AU203" s="8"/>
    </row>
    <row r="204" spans="20:47" x14ac:dyDescent="0.4">
      <c r="T204" s="5"/>
      <c r="U204" s="8"/>
      <c r="V204" s="8"/>
      <c r="X204" s="5"/>
      <c r="AB204" s="5"/>
      <c r="AC204" s="8"/>
      <c r="AD204" s="8"/>
      <c r="AE204" s="8"/>
      <c r="AF204" s="8"/>
      <c r="AI204" s="9"/>
      <c r="AN204" s="9"/>
      <c r="AP204" s="8"/>
      <c r="AQ204" s="10"/>
      <c r="AR204" s="10"/>
      <c r="AS204" s="8"/>
      <c r="AT204" s="8"/>
      <c r="AU204" s="8"/>
    </row>
    <row r="205" spans="20:47" x14ac:dyDescent="0.4">
      <c r="T205" s="5"/>
      <c r="U205" s="8"/>
      <c r="V205" s="8"/>
      <c r="X205" s="5"/>
      <c r="AB205" s="5"/>
      <c r="AC205" s="8"/>
      <c r="AD205" s="8"/>
      <c r="AE205" s="8"/>
      <c r="AF205" s="8"/>
      <c r="AI205" s="9"/>
      <c r="AN205" s="9"/>
      <c r="AP205" s="8"/>
      <c r="AQ205" s="10"/>
      <c r="AR205" s="10"/>
      <c r="AS205" s="8"/>
      <c r="AT205" s="8"/>
      <c r="AU205" s="8"/>
    </row>
    <row r="206" spans="20:47" x14ac:dyDescent="0.4">
      <c r="T206" s="5"/>
      <c r="U206" s="8"/>
      <c r="V206" s="8"/>
      <c r="X206" s="5"/>
      <c r="AB206" s="5"/>
      <c r="AC206" s="8"/>
      <c r="AD206" s="8"/>
      <c r="AE206" s="8"/>
      <c r="AF206" s="8"/>
      <c r="AI206" s="9"/>
      <c r="AN206" s="9"/>
      <c r="AP206" s="8"/>
      <c r="AQ206" s="10"/>
      <c r="AR206" s="10"/>
      <c r="AS206" s="8"/>
      <c r="AT206" s="8"/>
      <c r="AU206" s="8"/>
    </row>
    <row r="207" spans="20:47" x14ac:dyDescent="0.4">
      <c r="T207" s="5"/>
      <c r="U207" s="8"/>
      <c r="V207" s="8"/>
      <c r="X207" s="5"/>
      <c r="AB207" s="5"/>
      <c r="AC207" s="8"/>
      <c r="AD207" s="8"/>
      <c r="AE207" s="8"/>
      <c r="AF207" s="8"/>
      <c r="AI207" s="9"/>
      <c r="AN207" s="9"/>
      <c r="AP207" s="8"/>
      <c r="AQ207" s="10"/>
      <c r="AR207" s="10"/>
      <c r="AS207" s="8"/>
      <c r="AT207" s="8"/>
      <c r="AU207" s="8"/>
    </row>
    <row r="208" spans="20:47" x14ac:dyDescent="0.4">
      <c r="T208" s="5"/>
      <c r="U208" s="8"/>
      <c r="V208" s="8"/>
      <c r="X208" s="5"/>
      <c r="AB208" s="5"/>
      <c r="AC208" s="8"/>
      <c r="AD208" s="8"/>
      <c r="AE208" s="8"/>
      <c r="AF208" s="8"/>
      <c r="AI208" s="9"/>
      <c r="AN208" s="9"/>
      <c r="AP208" s="8"/>
      <c r="AQ208" s="10"/>
      <c r="AR208" s="10"/>
      <c r="AS208" s="8"/>
      <c r="AT208" s="8"/>
      <c r="AU208" s="8"/>
    </row>
    <row r="209" spans="20:47" x14ac:dyDescent="0.4">
      <c r="T209" s="5"/>
      <c r="U209" s="8"/>
      <c r="V209" s="8"/>
      <c r="X209" s="5"/>
      <c r="AB209" s="5"/>
      <c r="AC209" s="8"/>
      <c r="AD209" s="8"/>
      <c r="AE209" s="8"/>
      <c r="AF209" s="8"/>
      <c r="AI209" s="9"/>
      <c r="AN209" s="9"/>
      <c r="AP209" s="8"/>
      <c r="AQ209" s="10"/>
      <c r="AR209" s="10"/>
      <c r="AS209" s="8"/>
      <c r="AT209" s="8"/>
      <c r="AU209" s="8"/>
    </row>
    <row r="210" spans="20:47" x14ac:dyDescent="0.4">
      <c r="T210" s="5"/>
      <c r="U210" s="8"/>
      <c r="V210" s="8"/>
      <c r="X210" s="5"/>
      <c r="AB210" s="5"/>
      <c r="AC210" s="8"/>
      <c r="AD210" s="8"/>
      <c r="AE210" s="8"/>
      <c r="AF210" s="8"/>
      <c r="AI210" s="9"/>
      <c r="AN210" s="9"/>
      <c r="AP210" s="8"/>
      <c r="AQ210" s="10"/>
      <c r="AR210" s="10"/>
      <c r="AS210" s="8"/>
      <c r="AT210" s="8"/>
      <c r="AU210" s="8"/>
    </row>
    <row r="211" spans="20:47" x14ac:dyDescent="0.4">
      <c r="T211" s="5"/>
      <c r="U211" s="8"/>
      <c r="V211" s="8"/>
      <c r="X211" s="5"/>
      <c r="AB211" s="5"/>
      <c r="AC211" s="8"/>
      <c r="AD211" s="8"/>
      <c r="AE211" s="8"/>
      <c r="AF211" s="8"/>
      <c r="AI211" s="9"/>
      <c r="AN211" s="9"/>
      <c r="AP211" s="8"/>
      <c r="AQ211" s="10"/>
      <c r="AR211" s="10"/>
      <c r="AS211" s="8"/>
      <c r="AT211" s="8"/>
      <c r="AU211" s="8"/>
    </row>
    <row r="212" spans="20:47" x14ac:dyDescent="0.4">
      <c r="T212" s="5"/>
      <c r="U212" s="8"/>
      <c r="V212" s="8"/>
      <c r="X212" s="5"/>
      <c r="AB212" s="5"/>
      <c r="AC212" s="8"/>
      <c r="AD212" s="8"/>
      <c r="AE212" s="8"/>
      <c r="AF212" s="8"/>
      <c r="AI212" s="9"/>
      <c r="AN212" s="9"/>
      <c r="AP212" s="8"/>
      <c r="AQ212" s="10"/>
      <c r="AR212" s="10"/>
      <c r="AS212" s="8"/>
      <c r="AT212" s="8"/>
      <c r="AU212" s="8"/>
    </row>
    <row r="213" spans="20:47" x14ac:dyDescent="0.4">
      <c r="T213" s="5"/>
      <c r="U213" s="8"/>
      <c r="V213" s="8"/>
      <c r="X213" s="5"/>
      <c r="AB213" s="5"/>
      <c r="AC213" s="8"/>
      <c r="AD213" s="8"/>
      <c r="AE213" s="8"/>
      <c r="AF213" s="8"/>
      <c r="AI213" s="9"/>
      <c r="AN213" s="9"/>
      <c r="AP213" s="8"/>
      <c r="AQ213" s="10"/>
      <c r="AR213" s="10"/>
      <c r="AS213" s="8"/>
      <c r="AT213" s="8"/>
      <c r="AU213" s="8"/>
    </row>
    <row r="214" spans="20:47" x14ac:dyDescent="0.4">
      <c r="T214" s="5"/>
      <c r="U214" s="8"/>
      <c r="V214" s="8"/>
      <c r="X214" s="5"/>
      <c r="AB214" s="5"/>
      <c r="AC214" s="8"/>
      <c r="AD214" s="8"/>
      <c r="AE214" s="8"/>
      <c r="AF214" s="8"/>
      <c r="AI214" s="9"/>
      <c r="AN214" s="9"/>
      <c r="AP214" s="8"/>
      <c r="AQ214" s="10"/>
      <c r="AR214" s="10"/>
      <c r="AS214" s="8"/>
      <c r="AT214" s="8"/>
      <c r="AU214" s="8"/>
    </row>
    <row r="215" spans="20:47" x14ac:dyDescent="0.4">
      <c r="T215" s="5"/>
      <c r="U215" s="8"/>
      <c r="V215" s="8"/>
      <c r="X215" s="5"/>
      <c r="AB215" s="5"/>
      <c r="AC215" s="8"/>
      <c r="AD215" s="8"/>
      <c r="AE215" s="8"/>
      <c r="AF215" s="8"/>
      <c r="AI215" s="9"/>
      <c r="AN215" s="9"/>
      <c r="AP215" s="8"/>
      <c r="AQ215" s="10"/>
      <c r="AR215" s="10"/>
      <c r="AS215" s="8"/>
      <c r="AT215" s="8"/>
      <c r="AU215" s="8"/>
    </row>
    <row r="216" spans="20:47" x14ac:dyDescent="0.4">
      <c r="T216" s="5"/>
      <c r="U216" s="8"/>
      <c r="V216" s="8"/>
      <c r="X216" s="5"/>
      <c r="AB216" s="5"/>
      <c r="AC216" s="8"/>
      <c r="AD216" s="8"/>
      <c r="AE216" s="8"/>
      <c r="AF216" s="8"/>
      <c r="AI216" s="9"/>
      <c r="AN216" s="9"/>
      <c r="AP216" s="8"/>
      <c r="AQ216" s="10"/>
      <c r="AR216" s="10"/>
      <c r="AS216" s="8"/>
      <c r="AT216" s="8"/>
      <c r="AU216" s="8"/>
    </row>
    <row r="217" spans="20:47" x14ac:dyDescent="0.4">
      <c r="T217" s="5"/>
      <c r="U217" s="8"/>
      <c r="V217" s="8"/>
      <c r="X217" s="5"/>
      <c r="AB217" s="5"/>
      <c r="AC217" s="8"/>
      <c r="AD217" s="8"/>
      <c r="AE217" s="8"/>
      <c r="AF217" s="8"/>
      <c r="AI217" s="9"/>
      <c r="AN217" s="9"/>
      <c r="AP217" s="8"/>
      <c r="AQ217" s="10"/>
      <c r="AR217" s="10"/>
      <c r="AS217" s="8"/>
      <c r="AT217" s="8"/>
      <c r="AU217" s="8"/>
    </row>
    <row r="218" spans="20:47" x14ac:dyDescent="0.4">
      <c r="T218" s="5"/>
      <c r="U218" s="8"/>
      <c r="V218" s="8"/>
      <c r="X218" s="5"/>
      <c r="AB218" s="5"/>
      <c r="AC218" s="8"/>
      <c r="AD218" s="8"/>
      <c r="AE218" s="8"/>
      <c r="AF218" s="8"/>
      <c r="AI218" s="9"/>
      <c r="AN218" s="9"/>
      <c r="AP218" s="8"/>
      <c r="AQ218" s="10"/>
      <c r="AR218" s="10"/>
      <c r="AS218" s="8"/>
      <c r="AT218" s="8"/>
      <c r="AU218" s="8"/>
    </row>
    <row r="219" spans="20:47" x14ac:dyDescent="0.4">
      <c r="T219" s="5"/>
      <c r="U219" s="8"/>
      <c r="V219" s="8"/>
      <c r="X219" s="5"/>
      <c r="AB219" s="5"/>
      <c r="AC219" s="8"/>
      <c r="AD219" s="8"/>
      <c r="AE219" s="8"/>
      <c r="AF219" s="8"/>
      <c r="AI219" s="9"/>
      <c r="AN219" s="9"/>
      <c r="AP219" s="8"/>
      <c r="AQ219" s="10"/>
      <c r="AR219" s="10"/>
      <c r="AS219" s="8"/>
      <c r="AT219" s="8"/>
      <c r="AU219" s="8"/>
    </row>
    <row r="220" spans="20:47" x14ac:dyDescent="0.4">
      <c r="T220" s="5"/>
      <c r="U220" s="8"/>
      <c r="V220" s="8"/>
      <c r="X220" s="5"/>
      <c r="AB220" s="5"/>
      <c r="AC220" s="8"/>
      <c r="AD220" s="8"/>
      <c r="AE220" s="8"/>
      <c r="AF220" s="8"/>
      <c r="AI220" s="9"/>
      <c r="AN220" s="9"/>
      <c r="AP220" s="8"/>
      <c r="AQ220" s="10"/>
      <c r="AR220" s="10"/>
      <c r="AS220" s="8"/>
      <c r="AT220" s="8"/>
      <c r="AU220" s="8"/>
    </row>
    <row r="221" spans="20:47" x14ac:dyDescent="0.4">
      <c r="T221" s="5"/>
      <c r="U221" s="8"/>
      <c r="V221" s="8"/>
      <c r="X221" s="5"/>
      <c r="AB221" s="5"/>
      <c r="AC221" s="8"/>
      <c r="AD221" s="8"/>
      <c r="AE221" s="8"/>
      <c r="AF221" s="8"/>
      <c r="AI221" s="9"/>
      <c r="AN221" s="9"/>
      <c r="AP221" s="8"/>
      <c r="AQ221" s="10"/>
      <c r="AR221" s="10"/>
      <c r="AS221" s="8"/>
      <c r="AT221" s="8"/>
      <c r="AU221" s="8"/>
    </row>
    <row r="222" spans="20:47" x14ac:dyDescent="0.4">
      <c r="T222" s="5"/>
      <c r="U222" s="8"/>
      <c r="V222" s="8"/>
      <c r="X222" s="5"/>
      <c r="AB222" s="5"/>
      <c r="AC222" s="8"/>
      <c r="AD222" s="8"/>
      <c r="AE222" s="8"/>
      <c r="AF222" s="8"/>
      <c r="AI222" s="9"/>
      <c r="AN222" s="9"/>
      <c r="AP222" s="8"/>
      <c r="AQ222" s="10"/>
      <c r="AR222" s="10"/>
      <c r="AS222" s="8"/>
      <c r="AT222" s="8"/>
      <c r="AU222" s="8"/>
    </row>
    <row r="223" spans="20:47" x14ac:dyDescent="0.4">
      <c r="T223" s="5"/>
      <c r="U223" s="8"/>
      <c r="V223" s="8"/>
      <c r="X223" s="5"/>
      <c r="AB223" s="5"/>
      <c r="AC223" s="8"/>
      <c r="AD223" s="8"/>
      <c r="AE223" s="8"/>
      <c r="AF223" s="8"/>
      <c r="AI223" s="9"/>
      <c r="AN223" s="9"/>
      <c r="AP223" s="8"/>
      <c r="AQ223" s="10"/>
      <c r="AR223" s="10"/>
      <c r="AS223" s="8"/>
      <c r="AT223" s="8"/>
      <c r="AU223" s="8"/>
    </row>
    <row r="224" spans="20:47" x14ac:dyDescent="0.4">
      <c r="T224" s="5"/>
      <c r="U224" s="8"/>
      <c r="V224" s="8"/>
      <c r="X224" s="5"/>
      <c r="AB224" s="5"/>
      <c r="AC224" s="8"/>
      <c r="AD224" s="8"/>
      <c r="AE224" s="8"/>
      <c r="AF224" s="8"/>
      <c r="AI224" s="9"/>
      <c r="AN224" s="9"/>
      <c r="AP224" s="8"/>
      <c r="AQ224" s="10"/>
      <c r="AR224" s="10"/>
      <c r="AS224" s="8"/>
      <c r="AT224" s="8"/>
      <c r="AU224" s="8"/>
    </row>
    <row r="225" spans="20:47" x14ac:dyDescent="0.4">
      <c r="T225" s="5"/>
      <c r="U225" s="8"/>
      <c r="V225" s="8"/>
      <c r="X225" s="5"/>
      <c r="AB225" s="5"/>
      <c r="AC225" s="8"/>
      <c r="AD225" s="8"/>
      <c r="AE225" s="8"/>
      <c r="AF225" s="8"/>
      <c r="AI225" s="9"/>
      <c r="AN225" s="9"/>
      <c r="AP225" s="8"/>
      <c r="AQ225" s="10"/>
      <c r="AR225" s="10"/>
      <c r="AS225" s="8"/>
      <c r="AT225" s="8"/>
      <c r="AU225" s="8"/>
    </row>
    <row r="226" spans="20:47" x14ac:dyDescent="0.4">
      <c r="T226" s="5"/>
      <c r="U226" s="8"/>
      <c r="V226" s="8"/>
      <c r="X226" s="5"/>
      <c r="AB226" s="5"/>
      <c r="AC226" s="8"/>
      <c r="AD226" s="8"/>
      <c r="AE226" s="8"/>
      <c r="AF226" s="8"/>
      <c r="AI226" s="9"/>
      <c r="AN226" s="9"/>
      <c r="AP226" s="8"/>
      <c r="AQ226" s="10"/>
      <c r="AR226" s="10"/>
      <c r="AS226" s="8"/>
      <c r="AT226" s="8"/>
      <c r="AU226" s="8"/>
    </row>
    <row r="227" spans="20:47" x14ac:dyDescent="0.4">
      <c r="T227" s="5"/>
      <c r="U227" s="8"/>
      <c r="V227" s="8"/>
      <c r="X227" s="5"/>
      <c r="AB227" s="5"/>
      <c r="AC227" s="8"/>
      <c r="AD227" s="8"/>
      <c r="AE227" s="8"/>
      <c r="AF227" s="8"/>
      <c r="AI227" s="9"/>
      <c r="AN227" s="9"/>
      <c r="AP227" s="8"/>
      <c r="AQ227" s="10"/>
      <c r="AR227" s="10"/>
      <c r="AS227" s="8"/>
      <c r="AT227" s="8"/>
      <c r="AU227" s="8"/>
    </row>
    <row r="228" spans="20:47" x14ac:dyDescent="0.4">
      <c r="T228" s="5"/>
      <c r="U228" s="8"/>
      <c r="V228" s="8"/>
      <c r="X228" s="5"/>
      <c r="AB228" s="5"/>
      <c r="AC228" s="8"/>
      <c r="AD228" s="8"/>
      <c r="AE228" s="8"/>
      <c r="AF228" s="8"/>
      <c r="AI228" s="9"/>
      <c r="AN228" s="9"/>
      <c r="AP228" s="8"/>
      <c r="AQ228" s="10"/>
      <c r="AR228" s="10"/>
      <c r="AS228" s="8"/>
      <c r="AT228" s="8"/>
      <c r="AU228" s="8"/>
    </row>
    <row r="229" spans="20:47" x14ac:dyDescent="0.4">
      <c r="T229" s="5"/>
      <c r="U229" s="8"/>
      <c r="V229" s="8"/>
      <c r="X229" s="5"/>
      <c r="AB229" s="5"/>
      <c r="AC229" s="8"/>
      <c r="AD229" s="8"/>
      <c r="AE229" s="8"/>
      <c r="AF229" s="8"/>
      <c r="AI229" s="9"/>
      <c r="AN229" s="9"/>
      <c r="AP229" s="8"/>
      <c r="AQ229" s="10"/>
      <c r="AR229" s="10"/>
      <c r="AS229" s="8"/>
      <c r="AT229" s="8"/>
      <c r="AU229" s="8"/>
    </row>
    <row r="230" spans="20:47" x14ac:dyDescent="0.4">
      <c r="T230" s="5"/>
      <c r="U230" s="8"/>
      <c r="V230" s="8"/>
      <c r="X230" s="5"/>
      <c r="AB230" s="5"/>
      <c r="AC230" s="8"/>
      <c r="AD230" s="8"/>
      <c r="AE230" s="8"/>
      <c r="AF230" s="8"/>
      <c r="AI230" s="9"/>
      <c r="AN230" s="9"/>
      <c r="AP230" s="8"/>
      <c r="AQ230" s="10"/>
      <c r="AR230" s="10"/>
      <c r="AS230" s="8"/>
      <c r="AT230" s="8"/>
      <c r="AU230" s="8"/>
    </row>
    <row r="231" spans="20:47" x14ac:dyDescent="0.4">
      <c r="T231" s="5"/>
      <c r="U231" s="8"/>
      <c r="V231" s="8"/>
      <c r="X231" s="5"/>
      <c r="AB231" s="5"/>
      <c r="AC231" s="8"/>
      <c r="AD231" s="8"/>
      <c r="AE231" s="8"/>
      <c r="AF231" s="8"/>
      <c r="AI231" s="9"/>
      <c r="AN231" s="9"/>
      <c r="AP231" s="8"/>
      <c r="AQ231" s="10"/>
      <c r="AR231" s="10"/>
      <c r="AS231" s="8"/>
      <c r="AT231" s="8"/>
      <c r="AU231" s="8"/>
    </row>
    <row r="232" spans="20:47" x14ac:dyDescent="0.4">
      <c r="T232" s="5"/>
      <c r="U232" s="8"/>
      <c r="V232" s="8"/>
      <c r="X232" s="5"/>
      <c r="AB232" s="5"/>
      <c r="AC232" s="8"/>
      <c r="AD232" s="8"/>
      <c r="AE232" s="8"/>
      <c r="AF232" s="8"/>
      <c r="AI232" s="9"/>
      <c r="AN232" s="9"/>
      <c r="AP232" s="8"/>
      <c r="AQ232" s="10"/>
      <c r="AR232" s="10"/>
      <c r="AS232" s="8"/>
      <c r="AT232" s="8"/>
      <c r="AU232" s="8"/>
    </row>
    <row r="233" spans="20:47" x14ac:dyDescent="0.4">
      <c r="T233" s="5"/>
      <c r="U233" s="8"/>
      <c r="V233" s="8"/>
      <c r="X233" s="5"/>
      <c r="AB233" s="5"/>
      <c r="AC233" s="8"/>
      <c r="AD233" s="8"/>
      <c r="AE233" s="8"/>
      <c r="AF233" s="8"/>
      <c r="AI233" s="9"/>
      <c r="AN233" s="9"/>
      <c r="AP233" s="8"/>
      <c r="AQ233" s="10"/>
      <c r="AR233" s="10"/>
      <c r="AS233" s="8"/>
      <c r="AT233" s="8"/>
      <c r="AU233" s="8"/>
    </row>
    <row r="234" spans="20:47" x14ac:dyDescent="0.4">
      <c r="T234" s="5"/>
      <c r="U234" s="8"/>
      <c r="V234" s="8"/>
      <c r="X234" s="5"/>
      <c r="AB234" s="5"/>
      <c r="AC234" s="8"/>
      <c r="AD234" s="8"/>
      <c r="AE234" s="8"/>
      <c r="AF234" s="8"/>
      <c r="AI234" s="9"/>
      <c r="AN234" s="9"/>
      <c r="AP234" s="8"/>
      <c r="AQ234" s="10"/>
      <c r="AR234" s="10"/>
      <c r="AS234" s="8"/>
      <c r="AT234" s="8"/>
      <c r="AU234" s="8"/>
    </row>
    <row r="235" spans="20:47" x14ac:dyDescent="0.4">
      <c r="T235" s="5"/>
      <c r="U235" s="8"/>
      <c r="V235" s="8"/>
      <c r="X235" s="5"/>
      <c r="AB235" s="5"/>
      <c r="AC235" s="8"/>
      <c r="AD235" s="8"/>
      <c r="AE235" s="8"/>
      <c r="AF235" s="8"/>
      <c r="AI235" s="9"/>
      <c r="AN235" s="9"/>
      <c r="AP235" s="8"/>
      <c r="AQ235" s="10"/>
      <c r="AR235" s="10"/>
      <c r="AS235" s="8"/>
      <c r="AT235" s="8"/>
      <c r="AU235" s="8"/>
    </row>
    <row r="236" spans="20:47" x14ac:dyDescent="0.4">
      <c r="T236" s="5"/>
      <c r="U236" s="8"/>
      <c r="V236" s="8"/>
      <c r="X236" s="5"/>
      <c r="AB236" s="5"/>
      <c r="AC236" s="8"/>
      <c r="AD236" s="8"/>
      <c r="AE236" s="8"/>
      <c r="AF236" s="8"/>
      <c r="AI236" s="9"/>
      <c r="AN236" s="9"/>
      <c r="AP236" s="8"/>
      <c r="AQ236" s="10"/>
      <c r="AR236" s="10"/>
      <c r="AS236" s="8"/>
      <c r="AT236" s="8"/>
      <c r="AU236" s="8"/>
    </row>
    <row r="237" spans="20:47" x14ac:dyDescent="0.4">
      <c r="T237" s="5"/>
      <c r="U237" s="8"/>
      <c r="V237" s="8"/>
      <c r="X237" s="5"/>
      <c r="AB237" s="5"/>
      <c r="AC237" s="8"/>
      <c r="AD237" s="8"/>
      <c r="AE237" s="8"/>
      <c r="AF237" s="8"/>
      <c r="AI237" s="9"/>
      <c r="AN237" s="9"/>
      <c r="AP237" s="8"/>
      <c r="AQ237" s="10"/>
      <c r="AR237" s="10"/>
      <c r="AS237" s="8"/>
      <c r="AT237" s="8"/>
      <c r="AU237" s="8"/>
    </row>
    <row r="238" spans="20:47" x14ac:dyDescent="0.4">
      <c r="T238" s="5"/>
      <c r="U238" s="8"/>
      <c r="V238" s="8"/>
      <c r="X238" s="5"/>
      <c r="AB238" s="5"/>
      <c r="AC238" s="8"/>
      <c r="AD238" s="8"/>
      <c r="AE238" s="8"/>
      <c r="AF238" s="8"/>
      <c r="AI238" s="9"/>
      <c r="AN238" s="9"/>
      <c r="AP238" s="8"/>
      <c r="AQ238" s="10"/>
      <c r="AR238" s="10"/>
      <c r="AS238" s="8"/>
      <c r="AT238" s="8"/>
      <c r="AU238" s="8"/>
    </row>
    <row r="239" spans="20:47" x14ac:dyDescent="0.4">
      <c r="T239" s="5"/>
      <c r="U239" s="8"/>
      <c r="V239" s="8"/>
      <c r="X239" s="5"/>
      <c r="AB239" s="5"/>
      <c r="AC239" s="8"/>
      <c r="AD239" s="8"/>
      <c r="AE239" s="8"/>
      <c r="AF239" s="8"/>
      <c r="AI239" s="9"/>
      <c r="AN239" s="9"/>
      <c r="AP239" s="8"/>
      <c r="AQ239" s="10"/>
      <c r="AR239" s="10"/>
      <c r="AS239" s="8"/>
      <c r="AT239" s="8"/>
      <c r="AU239" s="8"/>
    </row>
    <row r="240" spans="20:47" x14ac:dyDescent="0.4">
      <c r="T240" s="5"/>
      <c r="U240" s="8"/>
      <c r="V240" s="8"/>
      <c r="X240" s="5"/>
      <c r="AB240" s="5"/>
      <c r="AC240" s="8"/>
      <c r="AD240" s="8"/>
      <c r="AE240" s="8"/>
      <c r="AF240" s="8"/>
      <c r="AI240" s="9"/>
      <c r="AN240" s="9"/>
      <c r="AP240" s="8"/>
      <c r="AQ240" s="10"/>
      <c r="AR240" s="10"/>
      <c r="AS240" s="8"/>
      <c r="AT240" s="8"/>
      <c r="AU240" s="8"/>
    </row>
    <row r="241" spans="20:47" x14ac:dyDescent="0.4">
      <c r="T241" s="5"/>
      <c r="U241" s="8"/>
      <c r="V241" s="8"/>
      <c r="X241" s="5"/>
      <c r="AB241" s="5"/>
      <c r="AC241" s="8"/>
      <c r="AD241" s="8"/>
      <c r="AE241" s="8"/>
      <c r="AF241" s="8"/>
      <c r="AI241" s="9"/>
      <c r="AN241" s="9"/>
      <c r="AP241" s="8"/>
      <c r="AQ241" s="10"/>
      <c r="AR241" s="10"/>
      <c r="AS241" s="8"/>
      <c r="AT241" s="8"/>
      <c r="AU241" s="8"/>
    </row>
    <row r="242" spans="20:47" x14ac:dyDescent="0.4">
      <c r="T242" s="5"/>
      <c r="U242" s="8"/>
      <c r="V242" s="8"/>
      <c r="X242" s="5"/>
      <c r="AB242" s="5"/>
      <c r="AC242" s="8"/>
      <c r="AD242" s="8"/>
      <c r="AE242" s="8"/>
      <c r="AF242" s="8"/>
      <c r="AI242" s="9"/>
      <c r="AN242" s="9"/>
      <c r="AP242" s="8"/>
      <c r="AQ242" s="10"/>
      <c r="AR242" s="10"/>
      <c r="AS242" s="8"/>
      <c r="AT242" s="8"/>
      <c r="AU242" s="8"/>
    </row>
    <row r="243" spans="20:47" x14ac:dyDescent="0.4">
      <c r="T243" s="5"/>
      <c r="U243" s="8"/>
      <c r="V243" s="8"/>
      <c r="X243" s="5"/>
      <c r="AB243" s="5"/>
      <c r="AC243" s="8"/>
      <c r="AD243" s="8"/>
      <c r="AE243" s="8"/>
      <c r="AF243" s="8"/>
      <c r="AI243" s="9"/>
      <c r="AN243" s="9"/>
      <c r="AP243" s="8"/>
      <c r="AQ243" s="10"/>
      <c r="AR243" s="10"/>
      <c r="AS243" s="8"/>
      <c r="AT243" s="8"/>
      <c r="AU243" s="8"/>
    </row>
    <row r="244" spans="20:47" x14ac:dyDescent="0.4">
      <c r="T244" s="5"/>
      <c r="U244" s="8"/>
      <c r="V244" s="8"/>
      <c r="X244" s="5"/>
      <c r="AB244" s="5"/>
      <c r="AC244" s="8"/>
      <c r="AD244" s="8"/>
      <c r="AE244" s="8"/>
      <c r="AF244" s="8"/>
      <c r="AI244" s="9"/>
      <c r="AN244" s="9"/>
      <c r="AP244" s="8"/>
      <c r="AQ244" s="10"/>
      <c r="AR244" s="10"/>
      <c r="AS244" s="8"/>
      <c r="AT244" s="8"/>
      <c r="AU244" s="8"/>
    </row>
    <row r="245" spans="20:47" x14ac:dyDescent="0.4">
      <c r="T245" s="5"/>
      <c r="U245" s="8"/>
      <c r="V245" s="8"/>
      <c r="X245" s="5"/>
      <c r="AB245" s="5"/>
      <c r="AC245" s="8"/>
      <c r="AD245" s="8"/>
      <c r="AE245" s="8"/>
      <c r="AF245" s="8"/>
      <c r="AI245" s="9"/>
      <c r="AN245" s="9"/>
      <c r="AP245" s="8"/>
      <c r="AQ245" s="10"/>
      <c r="AR245" s="10"/>
      <c r="AS245" s="8"/>
      <c r="AT245" s="8"/>
      <c r="AU245" s="8"/>
    </row>
    <row r="246" spans="20:47" x14ac:dyDescent="0.4">
      <c r="T246" s="5"/>
      <c r="U246" s="8"/>
      <c r="V246" s="8"/>
      <c r="X246" s="5"/>
      <c r="AB246" s="5"/>
      <c r="AC246" s="8"/>
      <c r="AD246" s="8"/>
      <c r="AE246" s="8"/>
      <c r="AF246" s="8"/>
      <c r="AI246" s="9"/>
      <c r="AN246" s="9"/>
      <c r="AP246" s="8"/>
      <c r="AQ246" s="10"/>
      <c r="AR246" s="10"/>
      <c r="AS246" s="8"/>
      <c r="AT246" s="8"/>
      <c r="AU246" s="8"/>
    </row>
    <row r="247" spans="20:47" x14ac:dyDescent="0.4">
      <c r="T247" s="5"/>
      <c r="U247" s="8"/>
      <c r="V247" s="8"/>
      <c r="X247" s="5"/>
      <c r="AB247" s="5"/>
      <c r="AC247" s="8"/>
      <c r="AD247" s="8"/>
      <c r="AE247" s="8"/>
      <c r="AF247" s="8"/>
      <c r="AI247" s="9"/>
      <c r="AN247" s="9"/>
      <c r="AP247" s="8"/>
      <c r="AQ247" s="10"/>
      <c r="AR247" s="10"/>
      <c r="AS247" s="8"/>
      <c r="AT247" s="8"/>
      <c r="AU247" s="8"/>
    </row>
    <row r="248" spans="20:47" x14ac:dyDescent="0.4">
      <c r="T248" s="5"/>
      <c r="U248" s="8"/>
      <c r="V248" s="8"/>
      <c r="X248" s="5"/>
      <c r="AB248" s="5"/>
      <c r="AC248" s="8"/>
      <c r="AD248" s="8"/>
      <c r="AE248" s="8"/>
      <c r="AF248" s="8"/>
      <c r="AI248" s="9"/>
      <c r="AN248" s="9"/>
      <c r="AP248" s="8"/>
      <c r="AQ248" s="10"/>
      <c r="AR248" s="10"/>
      <c r="AS248" s="8"/>
      <c r="AT248" s="8"/>
      <c r="AU248" s="8"/>
    </row>
    <row r="249" spans="20:47" x14ac:dyDescent="0.4">
      <c r="T249" s="5"/>
      <c r="U249" s="8"/>
      <c r="V249" s="8"/>
      <c r="X249" s="5"/>
      <c r="AB249" s="5"/>
      <c r="AC249" s="8"/>
      <c r="AD249" s="8"/>
      <c r="AE249" s="8"/>
      <c r="AF249" s="8"/>
      <c r="AI249" s="9"/>
      <c r="AN249" s="9"/>
      <c r="AP249" s="8"/>
      <c r="AQ249" s="10"/>
      <c r="AR249" s="10"/>
      <c r="AS249" s="8"/>
      <c r="AT249" s="8"/>
      <c r="AU249" s="8"/>
    </row>
    <row r="250" spans="20:47" x14ac:dyDescent="0.4">
      <c r="T250" s="5"/>
      <c r="U250" s="8"/>
      <c r="V250" s="8"/>
      <c r="X250" s="5"/>
      <c r="AB250" s="5"/>
      <c r="AC250" s="8"/>
      <c r="AD250" s="8"/>
      <c r="AE250" s="8"/>
      <c r="AF250" s="8"/>
      <c r="AI250" s="9"/>
      <c r="AN250" s="9"/>
      <c r="AP250" s="8"/>
      <c r="AQ250" s="10"/>
      <c r="AR250" s="10"/>
      <c r="AS250" s="8"/>
      <c r="AT250" s="8"/>
      <c r="AU250" s="8"/>
    </row>
    <row r="251" spans="20:47" x14ac:dyDescent="0.4">
      <c r="T251" s="5"/>
      <c r="U251" s="8"/>
      <c r="V251" s="8"/>
      <c r="X251" s="5"/>
      <c r="AB251" s="5"/>
      <c r="AC251" s="8"/>
      <c r="AD251" s="8"/>
      <c r="AE251" s="8"/>
      <c r="AF251" s="8"/>
      <c r="AI251" s="9"/>
      <c r="AN251" s="9"/>
      <c r="AP251" s="8"/>
      <c r="AQ251" s="10"/>
      <c r="AR251" s="10"/>
      <c r="AS251" s="8"/>
      <c r="AT251" s="8"/>
      <c r="AU251" s="8"/>
    </row>
    <row r="252" spans="20:47" x14ac:dyDescent="0.4">
      <c r="T252" s="5"/>
      <c r="U252" s="8"/>
      <c r="V252" s="8"/>
      <c r="X252" s="5"/>
      <c r="AB252" s="5"/>
      <c r="AC252" s="8"/>
      <c r="AD252" s="8"/>
      <c r="AE252" s="8"/>
      <c r="AF252" s="8"/>
      <c r="AI252" s="9"/>
      <c r="AN252" s="9"/>
      <c r="AP252" s="8"/>
      <c r="AQ252" s="10"/>
      <c r="AR252" s="10"/>
      <c r="AS252" s="8"/>
      <c r="AT252" s="8"/>
      <c r="AU252" s="8"/>
    </row>
    <row r="253" spans="20:47" x14ac:dyDescent="0.4">
      <c r="T253" s="5"/>
      <c r="U253" s="8"/>
      <c r="V253" s="8"/>
      <c r="X253" s="5"/>
      <c r="AB253" s="5"/>
      <c r="AC253" s="8"/>
      <c r="AD253" s="8"/>
      <c r="AE253" s="8"/>
      <c r="AF253" s="8"/>
      <c r="AI253" s="9"/>
      <c r="AN253" s="9"/>
      <c r="AP253" s="8"/>
      <c r="AQ253" s="10"/>
      <c r="AR253" s="10"/>
      <c r="AS253" s="8"/>
      <c r="AT253" s="8"/>
      <c r="AU253" s="8"/>
    </row>
    <row r="254" spans="20:47" x14ac:dyDescent="0.4">
      <c r="T254" s="5"/>
      <c r="U254" s="8"/>
      <c r="V254" s="8"/>
      <c r="X254" s="5"/>
      <c r="AB254" s="5"/>
      <c r="AC254" s="8"/>
      <c r="AD254" s="8"/>
      <c r="AE254" s="8"/>
      <c r="AF254" s="8"/>
      <c r="AI254" s="9"/>
      <c r="AN254" s="9"/>
      <c r="AP254" s="8"/>
      <c r="AQ254" s="10"/>
      <c r="AR254" s="10"/>
      <c r="AS254" s="8"/>
      <c r="AT254" s="8"/>
      <c r="AU254" s="8"/>
    </row>
    <row r="255" spans="20:47" x14ac:dyDescent="0.4">
      <c r="T255" s="5"/>
      <c r="U255" s="8"/>
      <c r="V255" s="8"/>
      <c r="X255" s="5"/>
      <c r="AB255" s="5"/>
      <c r="AC255" s="8"/>
      <c r="AD255" s="8"/>
      <c r="AE255" s="8"/>
      <c r="AF255" s="8"/>
      <c r="AI255" s="9"/>
      <c r="AN255" s="9"/>
      <c r="AP255" s="8"/>
      <c r="AQ255" s="10"/>
      <c r="AR255" s="10"/>
      <c r="AS255" s="8"/>
      <c r="AT255" s="8"/>
      <c r="AU255" s="8"/>
    </row>
    <row r="256" spans="20:47" x14ac:dyDescent="0.4">
      <c r="T256" s="5"/>
      <c r="U256" s="8"/>
      <c r="V256" s="8"/>
      <c r="X256" s="5"/>
      <c r="AB256" s="5"/>
      <c r="AC256" s="8"/>
      <c r="AD256" s="8"/>
      <c r="AE256" s="8"/>
      <c r="AF256" s="8"/>
      <c r="AI256" s="9"/>
      <c r="AN256" s="9"/>
      <c r="AP256" s="8"/>
      <c r="AQ256" s="10"/>
      <c r="AR256" s="10"/>
      <c r="AS256" s="8"/>
      <c r="AT256" s="8"/>
      <c r="AU256" s="8"/>
    </row>
    <row r="257" spans="20:47" x14ac:dyDescent="0.4">
      <c r="T257" s="5"/>
      <c r="U257" s="8"/>
      <c r="V257" s="8"/>
      <c r="X257" s="5"/>
      <c r="AB257" s="5"/>
      <c r="AC257" s="8"/>
      <c r="AD257" s="8"/>
      <c r="AE257" s="8"/>
      <c r="AF257" s="8"/>
      <c r="AI257" s="9"/>
      <c r="AN257" s="9"/>
      <c r="AP257" s="8"/>
      <c r="AQ257" s="10"/>
      <c r="AR257" s="10"/>
      <c r="AS257" s="8"/>
      <c r="AT257" s="8"/>
      <c r="AU257" s="8"/>
    </row>
    <row r="258" spans="20:47" x14ac:dyDescent="0.4">
      <c r="T258" s="5"/>
      <c r="U258" s="8"/>
      <c r="V258" s="8"/>
      <c r="X258" s="5"/>
      <c r="AB258" s="5"/>
      <c r="AC258" s="8"/>
      <c r="AD258" s="8"/>
      <c r="AE258" s="8"/>
      <c r="AF258" s="8"/>
      <c r="AI258" s="9"/>
      <c r="AN258" s="9"/>
      <c r="AP258" s="8"/>
      <c r="AQ258" s="10"/>
      <c r="AR258" s="10"/>
      <c r="AS258" s="8"/>
      <c r="AT258" s="8"/>
      <c r="AU258" s="8"/>
    </row>
    <row r="259" spans="20:47" x14ac:dyDescent="0.4">
      <c r="T259" s="5"/>
      <c r="U259" s="8"/>
      <c r="V259" s="8"/>
      <c r="X259" s="5"/>
      <c r="AB259" s="5"/>
      <c r="AC259" s="8"/>
      <c r="AD259" s="8"/>
      <c r="AE259" s="8"/>
      <c r="AF259" s="8"/>
      <c r="AI259" s="9"/>
      <c r="AN259" s="9"/>
      <c r="AP259" s="8"/>
      <c r="AQ259" s="10"/>
      <c r="AR259" s="10"/>
      <c r="AS259" s="8"/>
      <c r="AT259" s="8"/>
      <c r="AU259" s="8"/>
    </row>
    <row r="260" spans="20:47" x14ac:dyDescent="0.4">
      <c r="T260" s="5"/>
      <c r="U260" s="8"/>
      <c r="V260" s="8"/>
      <c r="X260" s="5"/>
      <c r="AB260" s="5"/>
      <c r="AC260" s="8"/>
      <c r="AD260" s="8"/>
      <c r="AE260" s="8"/>
      <c r="AF260" s="8"/>
      <c r="AI260" s="9"/>
      <c r="AN260" s="9"/>
      <c r="AP260" s="8"/>
      <c r="AQ260" s="10"/>
      <c r="AR260" s="10"/>
      <c r="AS260" s="8"/>
      <c r="AT260" s="8"/>
      <c r="AU260" s="8"/>
    </row>
    <row r="261" spans="20:47" x14ac:dyDescent="0.4">
      <c r="T261" s="5"/>
      <c r="U261" s="8"/>
      <c r="V261" s="8"/>
      <c r="X261" s="5"/>
      <c r="AB261" s="5"/>
      <c r="AC261" s="8"/>
      <c r="AD261" s="8"/>
      <c r="AE261" s="8"/>
      <c r="AF261" s="8"/>
      <c r="AI261" s="9"/>
      <c r="AN261" s="9"/>
      <c r="AP261" s="8"/>
      <c r="AQ261" s="10"/>
      <c r="AR261" s="10"/>
      <c r="AS261" s="8"/>
      <c r="AT261" s="8"/>
      <c r="AU261" s="8"/>
    </row>
    <row r="262" spans="20:47" x14ac:dyDescent="0.4">
      <c r="T262" s="5"/>
      <c r="U262" s="8"/>
      <c r="V262" s="8"/>
      <c r="X262" s="5"/>
      <c r="AB262" s="5"/>
      <c r="AC262" s="8"/>
      <c r="AD262" s="8"/>
      <c r="AE262" s="8"/>
      <c r="AF262" s="8"/>
      <c r="AI262" s="9"/>
      <c r="AN262" s="9"/>
      <c r="AP262" s="8"/>
      <c r="AQ262" s="10"/>
      <c r="AR262" s="10"/>
      <c r="AS262" s="8"/>
      <c r="AT262" s="8"/>
      <c r="AU262" s="8"/>
    </row>
    <row r="263" spans="20:47" x14ac:dyDescent="0.4">
      <c r="T263" s="5"/>
      <c r="U263" s="8"/>
      <c r="V263" s="8"/>
      <c r="X263" s="5"/>
      <c r="AB263" s="5"/>
      <c r="AC263" s="8"/>
      <c r="AD263" s="8"/>
      <c r="AE263" s="8"/>
      <c r="AF263" s="8"/>
      <c r="AI263" s="9"/>
      <c r="AN263" s="9"/>
      <c r="AP263" s="8"/>
      <c r="AQ263" s="10"/>
      <c r="AR263" s="10"/>
      <c r="AS263" s="8"/>
      <c r="AT263" s="8"/>
      <c r="AU263" s="8"/>
    </row>
    <row r="264" spans="20:47" x14ac:dyDescent="0.4">
      <c r="T264" s="5"/>
      <c r="U264" s="8"/>
      <c r="V264" s="8"/>
      <c r="X264" s="5"/>
      <c r="AB264" s="5"/>
      <c r="AC264" s="8"/>
      <c r="AD264" s="8"/>
      <c r="AE264" s="8"/>
      <c r="AF264" s="8"/>
      <c r="AI264" s="9"/>
      <c r="AN264" s="9"/>
      <c r="AP264" s="8"/>
      <c r="AQ264" s="10"/>
      <c r="AR264" s="10"/>
      <c r="AS264" s="8"/>
      <c r="AT264" s="8"/>
      <c r="AU264" s="8"/>
    </row>
    <row r="265" spans="20:47" x14ac:dyDescent="0.4">
      <c r="T265" s="5"/>
      <c r="U265" s="8"/>
      <c r="V265" s="8"/>
      <c r="X265" s="5"/>
      <c r="AB265" s="5"/>
      <c r="AC265" s="8"/>
      <c r="AD265" s="8"/>
      <c r="AE265" s="8"/>
      <c r="AF265" s="8"/>
      <c r="AI265" s="9"/>
      <c r="AN265" s="9"/>
      <c r="AP265" s="8"/>
      <c r="AQ265" s="10"/>
      <c r="AR265" s="10"/>
      <c r="AS265" s="8"/>
      <c r="AT265" s="8"/>
      <c r="AU265" s="8"/>
    </row>
    <row r="266" spans="20:47" x14ac:dyDescent="0.4">
      <c r="T266" s="5"/>
      <c r="U266" s="8"/>
      <c r="V266" s="8"/>
      <c r="X266" s="5"/>
      <c r="AB266" s="5"/>
      <c r="AC266" s="8"/>
      <c r="AD266" s="8"/>
      <c r="AE266" s="8"/>
      <c r="AF266" s="8"/>
      <c r="AI266" s="9"/>
      <c r="AN266" s="9"/>
      <c r="AP266" s="8"/>
      <c r="AQ266" s="10"/>
      <c r="AR266" s="10"/>
      <c r="AS266" s="8"/>
      <c r="AT266" s="8"/>
      <c r="AU266" s="8"/>
    </row>
    <row r="267" spans="20:47" x14ac:dyDescent="0.4">
      <c r="T267" s="5"/>
      <c r="U267" s="8"/>
      <c r="V267" s="8"/>
      <c r="X267" s="5"/>
      <c r="AB267" s="5"/>
      <c r="AC267" s="8"/>
      <c r="AD267" s="8"/>
      <c r="AE267" s="8"/>
      <c r="AF267" s="8"/>
      <c r="AI267" s="9"/>
      <c r="AN267" s="9"/>
      <c r="AP267" s="8"/>
      <c r="AQ267" s="10"/>
      <c r="AR267" s="10"/>
      <c r="AS267" s="8"/>
      <c r="AT267" s="8"/>
      <c r="AU267" s="8"/>
    </row>
    <row r="268" spans="20:47" x14ac:dyDescent="0.4">
      <c r="T268" s="5"/>
      <c r="U268" s="8"/>
      <c r="V268" s="8"/>
      <c r="X268" s="5"/>
      <c r="AB268" s="5"/>
      <c r="AC268" s="8"/>
      <c r="AD268" s="8"/>
      <c r="AE268" s="8"/>
      <c r="AF268" s="8"/>
      <c r="AI268" s="9"/>
      <c r="AN268" s="9"/>
      <c r="AP268" s="8"/>
      <c r="AQ268" s="10"/>
      <c r="AR268" s="10"/>
      <c r="AS268" s="8"/>
      <c r="AT268" s="8"/>
      <c r="AU268" s="8"/>
    </row>
    <row r="269" spans="20:47" x14ac:dyDescent="0.4">
      <c r="T269" s="5"/>
      <c r="U269" s="8"/>
      <c r="V269" s="8"/>
      <c r="X269" s="5"/>
      <c r="AB269" s="5"/>
      <c r="AC269" s="8"/>
      <c r="AD269" s="8"/>
      <c r="AE269" s="8"/>
      <c r="AF269" s="8"/>
      <c r="AI269" s="9"/>
      <c r="AN269" s="9"/>
      <c r="AP269" s="8"/>
      <c r="AQ269" s="10"/>
      <c r="AR269" s="10"/>
      <c r="AS269" s="8"/>
      <c r="AT269" s="8"/>
      <c r="AU269" s="8"/>
    </row>
    <row r="270" spans="20:47" x14ac:dyDescent="0.4">
      <c r="T270" s="5"/>
      <c r="U270" s="8"/>
      <c r="V270" s="8"/>
      <c r="X270" s="5"/>
      <c r="AB270" s="5"/>
      <c r="AC270" s="8"/>
      <c r="AD270" s="8"/>
      <c r="AE270" s="8"/>
      <c r="AF270" s="8"/>
      <c r="AI270" s="9"/>
      <c r="AN270" s="9"/>
      <c r="AP270" s="8"/>
      <c r="AQ270" s="10"/>
      <c r="AR270" s="10"/>
      <c r="AS270" s="8"/>
      <c r="AT270" s="8"/>
      <c r="AU270" s="8"/>
    </row>
    <row r="271" spans="20:47" x14ac:dyDescent="0.4">
      <c r="T271" s="5"/>
      <c r="U271" s="8"/>
      <c r="V271" s="8"/>
      <c r="X271" s="5"/>
      <c r="AB271" s="5"/>
      <c r="AC271" s="8"/>
      <c r="AD271" s="8"/>
      <c r="AE271" s="8"/>
      <c r="AF271" s="8"/>
      <c r="AI271" s="9"/>
      <c r="AN271" s="9"/>
      <c r="AP271" s="8"/>
      <c r="AQ271" s="10"/>
      <c r="AR271" s="10"/>
      <c r="AS271" s="8"/>
      <c r="AT271" s="8"/>
      <c r="AU271" s="8"/>
    </row>
    <row r="272" spans="20:47" x14ac:dyDescent="0.4">
      <c r="T272" s="5"/>
      <c r="U272" s="8"/>
      <c r="V272" s="8"/>
      <c r="X272" s="5"/>
      <c r="AB272" s="5"/>
      <c r="AC272" s="8"/>
      <c r="AD272" s="8"/>
      <c r="AE272" s="8"/>
      <c r="AF272" s="8"/>
      <c r="AI272" s="9"/>
      <c r="AN272" s="9"/>
      <c r="AP272" s="8"/>
      <c r="AQ272" s="10"/>
      <c r="AR272" s="10"/>
      <c r="AS272" s="8"/>
      <c r="AT272" s="8"/>
      <c r="AU272" s="8"/>
    </row>
    <row r="273" spans="20:47" x14ac:dyDescent="0.4">
      <c r="T273" s="5"/>
      <c r="U273" s="8"/>
      <c r="V273" s="8"/>
      <c r="X273" s="5"/>
      <c r="AB273" s="5"/>
      <c r="AC273" s="8"/>
      <c r="AD273" s="8"/>
      <c r="AE273" s="8"/>
      <c r="AF273" s="8"/>
      <c r="AI273" s="9"/>
      <c r="AN273" s="9"/>
      <c r="AP273" s="8"/>
      <c r="AQ273" s="10"/>
      <c r="AR273" s="10"/>
      <c r="AS273" s="8"/>
      <c r="AT273" s="8"/>
      <c r="AU273" s="8"/>
    </row>
    <row r="274" spans="20:47" x14ac:dyDescent="0.4">
      <c r="T274" s="5"/>
      <c r="U274" s="8"/>
      <c r="V274" s="8"/>
      <c r="X274" s="5"/>
      <c r="AB274" s="5"/>
      <c r="AC274" s="8"/>
      <c r="AD274" s="8"/>
      <c r="AE274" s="8"/>
      <c r="AF274" s="8"/>
      <c r="AI274" s="9"/>
      <c r="AN274" s="9"/>
      <c r="AP274" s="8"/>
      <c r="AQ274" s="10"/>
      <c r="AR274" s="10"/>
      <c r="AS274" s="8"/>
      <c r="AT274" s="8"/>
      <c r="AU274" s="8"/>
    </row>
    <row r="275" spans="20:47" x14ac:dyDescent="0.4">
      <c r="T275" s="5"/>
      <c r="U275" s="8"/>
      <c r="V275" s="8"/>
      <c r="X275" s="5"/>
      <c r="AB275" s="5"/>
      <c r="AC275" s="8"/>
      <c r="AD275" s="8"/>
      <c r="AE275" s="8"/>
      <c r="AF275" s="8"/>
      <c r="AI275" s="9"/>
      <c r="AN275" s="9"/>
      <c r="AP275" s="8"/>
      <c r="AQ275" s="10"/>
      <c r="AR275" s="10"/>
      <c r="AS275" s="8"/>
      <c r="AT275" s="8"/>
      <c r="AU275" s="8"/>
    </row>
    <row r="276" spans="20:47" x14ac:dyDescent="0.4">
      <c r="T276" s="5"/>
      <c r="U276" s="8"/>
      <c r="V276" s="8"/>
      <c r="X276" s="5"/>
      <c r="AB276" s="5"/>
      <c r="AC276" s="8"/>
      <c r="AD276" s="8"/>
      <c r="AE276" s="8"/>
      <c r="AF276" s="8"/>
      <c r="AI276" s="9"/>
      <c r="AN276" s="9"/>
      <c r="AP276" s="8"/>
      <c r="AQ276" s="10"/>
      <c r="AR276" s="10"/>
      <c r="AS276" s="8"/>
      <c r="AT276" s="8"/>
      <c r="AU276" s="8"/>
    </row>
    <row r="277" spans="20:47" x14ac:dyDescent="0.4">
      <c r="T277" s="5"/>
      <c r="U277" s="8"/>
      <c r="V277" s="8"/>
      <c r="X277" s="5"/>
      <c r="AB277" s="5"/>
      <c r="AC277" s="8"/>
      <c r="AD277" s="8"/>
      <c r="AE277" s="8"/>
      <c r="AF277" s="8"/>
      <c r="AI277" s="9"/>
      <c r="AN277" s="9"/>
      <c r="AP277" s="8"/>
      <c r="AQ277" s="10"/>
      <c r="AR277" s="10"/>
      <c r="AS277" s="8"/>
      <c r="AT277" s="8"/>
      <c r="AU277" s="8"/>
    </row>
    <row r="278" spans="20:47" x14ac:dyDescent="0.4">
      <c r="T278" s="5"/>
      <c r="U278" s="8"/>
      <c r="V278" s="8"/>
      <c r="X278" s="5"/>
      <c r="AB278" s="5"/>
      <c r="AC278" s="8"/>
      <c r="AD278" s="8"/>
      <c r="AE278" s="8"/>
      <c r="AF278" s="8"/>
      <c r="AI278" s="9"/>
      <c r="AN278" s="9"/>
      <c r="AP278" s="8"/>
      <c r="AQ278" s="10"/>
      <c r="AR278" s="10"/>
      <c r="AS278" s="8"/>
      <c r="AT278" s="8"/>
      <c r="AU278" s="8"/>
    </row>
    <row r="279" spans="20:47" x14ac:dyDescent="0.4">
      <c r="T279" s="5"/>
      <c r="U279" s="8"/>
      <c r="V279" s="8"/>
      <c r="X279" s="5"/>
      <c r="AB279" s="5"/>
      <c r="AC279" s="8"/>
      <c r="AD279" s="8"/>
      <c r="AE279" s="8"/>
      <c r="AF279" s="8"/>
      <c r="AI279" s="9"/>
      <c r="AN279" s="9"/>
      <c r="AP279" s="8"/>
      <c r="AQ279" s="10"/>
      <c r="AR279" s="10"/>
      <c r="AS279" s="8"/>
      <c r="AT279" s="8"/>
      <c r="AU279" s="8"/>
    </row>
    <row r="280" spans="20:47" x14ac:dyDescent="0.4">
      <c r="T280" s="5"/>
      <c r="U280" s="8"/>
      <c r="V280" s="8"/>
      <c r="X280" s="5"/>
      <c r="AB280" s="5"/>
      <c r="AC280" s="8"/>
      <c r="AD280" s="8"/>
      <c r="AE280" s="8"/>
      <c r="AF280" s="8"/>
      <c r="AI280" s="9"/>
      <c r="AN280" s="9"/>
      <c r="AP280" s="8"/>
      <c r="AQ280" s="10"/>
      <c r="AR280" s="10"/>
      <c r="AS280" s="8"/>
      <c r="AT280" s="8"/>
      <c r="AU280" s="8"/>
    </row>
    <row r="281" spans="20:47" x14ac:dyDescent="0.4">
      <c r="T281" s="5"/>
      <c r="U281" s="8"/>
      <c r="V281" s="8"/>
      <c r="X281" s="5"/>
      <c r="AB281" s="5"/>
      <c r="AC281" s="8"/>
      <c r="AD281" s="8"/>
      <c r="AE281" s="8"/>
      <c r="AF281" s="8"/>
      <c r="AI281" s="9"/>
      <c r="AN281" s="9"/>
      <c r="AP281" s="8"/>
      <c r="AQ281" s="10"/>
      <c r="AR281" s="10"/>
      <c r="AS281" s="8"/>
      <c r="AT281" s="8"/>
      <c r="AU281" s="8"/>
    </row>
    <row r="282" spans="20:47" x14ac:dyDescent="0.4">
      <c r="T282" s="5"/>
      <c r="U282" s="8"/>
      <c r="V282" s="8"/>
      <c r="X282" s="5"/>
      <c r="AB282" s="5"/>
      <c r="AC282" s="8"/>
      <c r="AD282" s="8"/>
      <c r="AE282" s="8"/>
      <c r="AF282" s="8"/>
      <c r="AI282" s="9"/>
      <c r="AN282" s="9"/>
      <c r="AP282" s="8"/>
      <c r="AQ282" s="10"/>
      <c r="AR282" s="10"/>
      <c r="AS282" s="8"/>
      <c r="AT282" s="8"/>
      <c r="AU282" s="8"/>
    </row>
    <row r="283" spans="20:47" x14ac:dyDescent="0.4">
      <c r="T283" s="5"/>
      <c r="U283" s="8"/>
      <c r="V283" s="8"/>
      <c r="X283" s="5"/>
      <c r="AB283" s="5"/>
      <c r="AC283" s="8"/>
      <c r="AD283" s="8"/>
      <c r="AE283" s="8"/>
      <c r="AF283" s="8"/>
      <c r="AI283" s="9"/>
      <c r="AN283" s="9"/>
      <c r="AP283" s="8"/>
      <c r="AQ283" s="10"/>
      <c r="AR283" s="10"/>
      <c r="AS283" s="8"/>
      <c r="AT283" s="8"/>
      <c r="AU283" s="8"/>
    </row>
    <row r="284" spans="20:47" x14ac:dyDescent="0.4">
      <c r="T284" s="5"/>
      <c r="U284" s="8"/>
      <c r="V284" s="8"/>
      <c r="X284" s="5"/>
      <c r="AB284" s="5"/>
      <c r="AC284" s="8"/>
      <c r="AD284" s="8"/>
      <c r="AE284" s="8"/>
      <c r="AF284" s="8"/>
      <c r="AI284" s="9"/>
      <c r="AN284" s="9"/>
      <c r="AP284" s="8"/>
      <c r="AQ284" s="10"/>
      <c r="AR284" s="10"/>
      <c r="AS284" s="8"/>
      <c r="AT284" s="8"/>
      <c r="AU284" s="8"/>
    </row>
    <row r="285" spans="20:47" x14ac:dyDescent="0.4">
      <c r="T285" s="5"/>
      <c r="U285" s="8"/>
      <c r="V285" s="8"/>
      <c r="X285" s="5"/>
      <c r="AB285" s="5"/>
      <c r="AC285" s="8"/>
      <c r="AD285" s="8"/>
      <c r="AE285" s="8"/>
      <c r="AF285" s="8"/>
      <c r="AI285" s="9"/>
      <c r="AN285" s="9"/>
      <c r="AP285" s="8"/>
      <c r="AQ285" s="10"/>
      <c r="AR285" s="10"/>
      <c r="AS285" s="8"/>
      <c r="AT285" s="8"/>
      <c r="AU285" s="8"/>
    </row>
    <row r="286" spans="20:47" x14ac:dyDescent="0.4">
      <c r="T286" s="5"/>
      <c r="U286" s="8"/>
      <c r="V286" s="8"/>
      <c r="X286" s="5"/>
      <c r="AB286" s="5"/>
      <c r="AC286" s="8"/>
      <c r="AD286" s="8"/>
      <c r="AE286" s="8"/>
      <c r="AF286" s="8"/>
      <c r="AI286" s="9"/>
      <c r="AN286" s="9"/>
      <c r="AP286" s="8"/>
      <c r="AQ286" s="10"/>
      <c r="AR286" s="10"/>
      <c r="AS286" s="8"/>
      <c r="AT286" s="8"/>
      <c r="AU286" s="8"/>
    </row>
    <row r="287" spans="20:47" x14ac:dyDescent="0.4">
      <c r="T287" s="5"/>
      <c r="U287" s="8"/>
      <c r="V287" s="8"/>
      <c r="X287" s="5"/>
      <c r="AB287" s="5"/>
      <c r="AC287" s="8"/>
      <c r="AD287" s="8"/>
      <c r="AE287" s="8"/>
      <c r="AF287" s="8"/>
      <c r="AI287" s="9"/>
      <c r="AN287" s="9"/>
      <c r="AP287" s="8"/>
      <c r="AQ287" s="10"/>
      <c r="AR287" s="10"/>
      <c r="AS287" s="8"/>
      <c r="AT287" s="8"/>
      <c r="AU287" s="8"/>
    </row>
    <row r="288" spans="20:47" x14ac:dyDescent="0.4">
      <c r="T288" s="5"/>
      <c r="U288" s="8"/>
      <c r="V288" s="8"/>
      <c r="X288" s="5"/>
      <c r="AB288" s="5"/>
      <c r="AC288" s="8"/>
      <c r="AD288" s="8"/>
      <c r="AE288" s="8"/>
      <c r="AF288" s="8"/>
      <c r="AI288" s="9"/>
      <c r="AN288" s="9"/>
      <c r="AP288" s="8"/>
      <c r="AQ288" s="10"/>
      <c r="AR288" s="10"/>
      <c r="AS288" s="8"/>
      <c r="AT288" s="8"/>
      <c r="AU288" s="8"/>
    </row>
    <row r="289" spans="20:47" x14ac:dyDescent="0.4">
      <c r="T289" s="5"/>
      <c r="U289" s="8"/>
      <c r="V289" s="8"/>
      <c r="X289" s="5"/>
      <c r="AB289" s="5"/>
      <c r="AC289" s="8"/>
      <c r="AD289" s="8"/>
      <c r="AE289" s="8"/>
      <c r="AF289" s="8"/>
      <c r="AI289" s="9"/>
      <c r="AN289" s="9"/>
      <c r="AP289" s="8"/>
      <c r="AQ289" s="10"/>
      <c r="AR289" s="10"/>
      <c r="AS289" s="8"/>
      <c r="AT289" s="8"/>
      <c r="AU289" s="8"/>
    </row>
    <row r="290" spans="20:47" x14ac:dyDescent="0.4">
      <c r="T290" s="5"/>
      <c r="U290" s="8"/>
      <c r="V290" s="8"/>
      <c r="X290" s="5"/>
      <c r="AB290" s="5"/>
      <c r="AC290" s="8"/>
      <c r="AD290" s="8"/>
      <c r="AE290" s="8"/>
      <c r="AF290" s="8"/>
      <c r="AI290" s="9"/>
      <c r="AN290" s="9"/>
      <c r="AP290" s="8"/>
      <c r="AQ290" s="10"/>
      <c r="AR290" s="10"/>
      <c r="AS290" s="8"/>
      <c r="AT290" s="8"/>
      <c r="AU290" s="8"/>
    </row>
    <row r="291" spans="20:47" x14ac:dyDescent="0.4">
      <c r="T291" s="5"/>
      <c r="U291" s="8"/>
      <c r="V291" s="8"/>
      <c r="X291" s="5"/>
      <c r="AB291" s="5"/>
      <c r="AC291" s="8"/>
      <c r="AD291" s="8"/>
      <c r="AE291" s="8"/>
      <c r="AF291" s="8"/>
      <c r="AI291" s="9"/>
      <c r="AN291" s="9"/>
      <c r="AP291" s="8"/>
      <c r="AQ291" s="10"/>
      <c r="AR291" s="10"/>
      <c r="AS291" s="8"/>
      <c r="AT291" s="8"/>
      <c r="AU291" s="8"/>
    </row>
    <row r="292" spans="20:47" x14ac:dyDescent="0.4">
      <c r="T292" s="5"/>
      <c r="U292" s="8"/>
      <c r="V292" s="8"/>
      <c r="X292" s="5"/>
      <c r="AB292" s="5"/>
      <c r="AC292" s="8"/>
      <c r="AD292" s="8"/>
      <c r="AE292" s="8"/>
      <c r="AF292" s="8"/>
      <c r="AI292" s="9"/>
      <c r="AN292" s="9"/>
      <c r="AP292" s="8"/>
      <c r="AQ292" s="10"/>
      <c r="AR292" s="10"/>
      <c r="AS292" s="8"/>
      <c r="AT292" s="8"/>
      <c r="AU292" s="8"/>
    </row>
    <row r="293" spans="20:47" x14ac:dyDescent="0.4">
      <c r="T293" s="5"/>
      <c r="U293" s="8"/>
      <c r="V293" s="8"/>
      <c r="X293" s="5"/>
      <c r="AB293" s="5"/>
      <c r="AC293" s="8"/>
      <c r="AD293" s="8"/>
      <c r="AE293" s="8"/>
      <c r="AF293" s="8"/>
      <c r="AI293" s="9"/>
      <c r="AN293" s="9"/>
      <c r="AP293" s="8"/>
      <c r="AQ293" s="10"/>
      <c r="AR293" s="10"/>
      <c r="AS293" s="8"/>
      <c r="AT293" s="8"/>
      <c r="AU293" s="8"/>
    </row>
    <row r="294" spans="20:47" x14ac:dyDescent="0.4">
      <c r="T294" s="5"/>
      <c r="U294" s="8"/>
      <c r="V294" s="8"/>
      <c r="X294" s="5"/>
      <c r="AB294" s="5"/>
      <c r="AC294" s="8"/>
      <c r="AD294" s="8"/>
      <c r="AE294" s="8"/>
      <c r="AF294" s="8"/>
      <c r="AI294" s="9"/>
      <c r="AN294" s="9"/>
      <c r="AP294" s="8"/>
      <c r="AQ294" s="10"/>
      <c r="AR294" s="10"/>
      <c r="AS294" s="8"/>
      <c r="AT294" s="8"/>
      <c r="AU294" s="8"/>
    </row>
    <row r="295" spans="20:47" x14ac:dyDescent="0.4">
      <c r="T295" s="5"/>
      <c r="U295" s="8"/>
      <c r="V295" s="8"/>
      <c r="X295" s="5"/>
      <c r="AB295" s="5"/>
      <c r="AC295" s="8"/>
      <c r="AD295" s="8"/>
      <c r="AE295" s="8"/>
      <c r="AF295" s="8"/>
      <c r="AI295" s="9"/>
      <c r="AN295" s="9"/>
      <c r="AP295" s="8"/>
      <c r="AQ295" s="10"/>
      <c r="AR295" s="10"/>
      <c r="AS295" s="8"/>
      <c r="AT295" s="8"/>
      <c r="AU295" s="8"/>
    </row>
    <row r="296" spans="20:47" x14ac:dyDescent="0.4">
      <c r="T296" s="5"/>
      <c r="U296" s="8"/>
      <c r="V296" s="8"/>
      <c r="X296" s="5"/>
      <c r="AB296" s="5"/>
      <c r="AC296" s="8"/>
      <c r="AD296" s="8"/>
      <c r="AE296" s="8"/>
      <c r="AF296" s="8"/>
      <c r="AI296" s="9"/>
      <c r="AN296" s="9"/>
      <c r="AP296" s="8"/>
      <c r="AQ296" s="10"/>
      <c r="AR296" s="10"/>
      <c r="AS296" s="8"/>
      <c r="AT296" s="8"/>
      <c r="AU296" s="8"/>
    </row>
    <row r="297" spans="20:47" x14ac:dyDescent="0.4">
      <c r="T297" s="5"/>
      <c r="U297" s="8"/>
      <c r="V297" s="8"/>
      <c r="X297" s="5"/>
      <c r="AB297" s="5"/>
      <c r="AC297" s="8"/>
      <c r="AD297" s="8"/>
      <c r="AE297" s="8"/>
      <c r="AF297" s="8"/>
      <c r="AI297" s="9"/>
      <c r="AN297" s="9"/>
      <c r="AP297" s="8"/>
      <c r="AQ297" s="10"/>
      <c r="AR297" s="10"/>
      <c r="AS297" s="8"/>
      <c r="AT297" s="8"/>
      <c r="AU297" s="8"/>
    </row>
    <row r="298" spans="20:47" x14ac:dyDescent="0.4">
      <c r="T298" s="5"/>
      <c r="U298" s="8"/>
      <c r="V298" s="8"/>
      <c r="X298" s="5"/>
      <c r="AB298" s="5"/>
      <c r="AC298" s="8"/>
      <c r="AD298" s="8"/>
      <c r="AE298" s="8"/>
      <c r="AF298" s="8"/>
      <c r="AI298" s="9"/>
      <c r="AN298" s="9"/>
      <c r="AP298" s="8"/>
      <c r="AQ298" s="10"/>
      <c r="AR298" s="10"/>
      <c r="AS298" s="8"/>
      <c r="AT298" s="8"/>
      <c r="AU298" s="8"/>
    </row>
    <row r="299" spans="20:47" x14ac:dyDescent="0.4">
      <c r="T299" s="5"/>
      <c r="U299" s="8"/>
      <c r="V299" s="8"/>
      <c r="X299" s="5"/>
      <c r="AB299" s="5"/>
      <c r="AC299" s="8"/>
      <c r="AD299" s="8"/>
      <c r="AE299" s="8"/>
      <c r="AF299" s="8"/>
      <c r="AI299" s="9"/>
      <c r="AN299" s="9"/>
      <c r="AP299" s="8"/>
      <c r="AQ299" s="10"/>
      <c r="AR299" s="10"/>
      <c r="AS299" s="8"/>
      <c r="AT299" s="8"/>
      <c r="AU299" s="8"/>
    </row>
    <row r="300" spans="20:47" x14ac:dyDescent="0.4">
      <c r="T300" s="5"/>
      <c r="U300" s="8"/>
      <c r="V300" s="8"/>
      <c r="X300" s="5"/>
      <c r="AB300" s="5"/>
      <c r="AC300" s="8"/>
      <c r="AD300" s="8"/>
      <c r="AE300" s="8"/>
      <c r="AF300" s="8"/>
      <c r="AI300" s="9"/>
      <c r="AN300" s="9"/>
      <c r="AP300" s="8"/>
      <c r="AQ300" s="10"/>
      <c r="AR300" s="10"/>
      <c r="AS300" s="8"/>
      <c r="AT300" s="8"/>
      <c r="AU300" s="8"/>
    </row>
    <row r="301" spans="20:47" x14ac:dyDescent="0.4">
      <c r="T301" s="5"/>
      <c r="U301" s="8"/>
      <c r="V301" s="8"/>
      <c r="X301" s="5"/>
      <c r="AB301" s="5"/>
      <c r="AC301" s="8"/>
      <c r="AD301" s="8"/>
      <c r="AE301" s="8"/>
      <c r="AF301" s="8"/>
      <c r="AI301" s="9"/>
      <c r="AN301" s="9"/>
      <c r="AP301" s="8"/>
      <c r="AQ301" s="10"/>
      <c r="AR301" s="10"/>
      <c r="AS301" s="8"/>
      <c r="AT301" s="8"/>
      <c r="AU301" s="8"/>
    </row>
    <row r="302" spans="20:47" x14ac:dyDescent="0.4">
      <c r="T302" s="5"/>
      <c r="U302" s="8"/>
      <c r="V302" s="8"/>
      <c r="X302" s="5"/>
      <c r="AB302" s="5"/>
      <c r="AC302" s="8"/>
      <c r="AD302" s="8"/>
      <c r="AE302" s="8"/>
      <c r="AF302" s="8"/>
      <c r="AI302" s="9"/>
      <c r="AN302" s="9"/>
      <c r="AP302" s="8"/>
      <c r="AQ302" s="10"/>
      <c r="AR302" s="10"/>
      <c r="AS302" s="8"/>
      <c r="AT302" s="8"/>
      <c r="AU302" s="8"/>
    </row>
    <row r="303" spans="20:47" x14ac:dyDescent="0.4">
      <c r="T303" s="5"/>
      <c r="U303" s="8"/>
      <c r="V303" s="8"/>
      <c r="X303" s="5"/>
      <c r="AB303" s="5"/>
      <c r="AC303" s="8"/>
      <c r="AD303" s="8"/>
      <c r="AE303" s="8"/>
      <c r="AF303" s="8"/>
      <c r="AI303" s="9"/>
      <c r="AN303" s="9"/>
      <c r="AP303" s="8"/>
      <c r="AQ303" s="10"/>
      <c r="AR303" s="10"/>
      <c r="AS303" s="8"/>
      <c r="AT303" s="8"/>
      <c r="AU303" s="8"/>
    </row>
    <row r="304" spans="20:47" x14ac:dyDescent="0.4">
      <c r="T304" s="5"/>
      <c r="U304" s="8"/>
      <c r="V304" s="8"/>
      <c r="X304" s="5"/>
      <c r="AB304" s="5"/>
      <c r="AC304" s="8"/>
      <c r="AD304" s="8"/>
      <c r="AE304" s="8"/>
      <c r="AF304" s="8"/>
      <c r="AI304" s="9"/>
      <c r="AN304" s="9"/>
      <c r="AP304" s="8"/>
      <c r="AQ304" s="10"/>
      <c r="AR304" s="10"/>
      <c r="AS304" s="8"/>
      <c r="AT304" s="8"/>
      <c r="AU304" s="8"/>
    </row>
    <row r="305" spans="20:47" x14ac:dyDescent="0.4">
      <c r="T305" s="5"/>
      <c r="U305" s="8"/>
      <c r="V305" s="8"/>
      <c r="X305" s="5"/>
      <c r="AB305" s="5"/>
      <c r="AC305" s="8"/>
      <c r="AD305" s="8"/>
      <c r="AE305" s="8"/>
      <c r="AF305" s="8"/>
      <c r="AI305" s="9"/>
      <c r="AN305" s="9"/>
      <c r="AP305" s="8"/>
      <c r="AQ305" s="10"/>
      <c r="AR305" s="10"/>
      <c r="AS305" s="8"/>
      <c r="AT305" s="8"/>
      <c r="AU305" s="8"/>
    </row>
    <row r="306" spans="20:47" x14ac:dyDescent="0.4">
      <c r="T306" s="5"/>
      <c r="U306" s="8"/>
      <c r="V306" s="8"/>
      <c r="X306" s="5"/>
      <c r="AB306" s="5"/>
      <c r="AC306" s="8"/>
      <c r="AD306" s="8"/>
      <c r="AE306" s="8"/>
      <c r="AF306" s="8"/>
      <c r="AI306" s="9"/>
      <c r="AN306" s="9"/>
      <c r="AP306" s="8"/>
      <c r="AQ306" s="10"/>
      <c r="AR306" s="10"/>
      <c r="AS306" s="8"/>
      <c r="AT306" s="8"/>
      <c r="AU306" s="8"/>
    </row>
    <row r="307" spans="20:47" x14ac:dyDescent="0.4">
      <c r="T307" s="5"/>
      <c r="U307" s="8"/>
      <c r="V307" s="8"/>
      <c r="X307" s="5"/>
      <c r="AB307" s="5"/>
      <c r="AC307" s="8"/>
      <c r="AD307" s="8"/>
      <c r="AE307" s="8"/>
      <c r="AF307" s="8"/>
      <c r="AI307" s="9"/>
      <c r="AN307" s="9"/>
      <c r="AP307" s="8"/>
      <c r="AQ307" s="10"/>
      <c r="AR307" s="10"/>
      <c r="AS307" s="8"/>
      <c r="AT307" s="8"/>
      <c r="AU307" s="8"/>
    </row>
    <row r="308" spans="20:47" x14ac:dyDescent="0.4">
      <c r="T308" s="5"/>
      <c r="U308" s="8"/>
      <c r="V308" s="8"/>
      <c r="X308" s="5"/>
      <c r="AB308" s="5"/>
      <c r="AC308" s="8"/>
      <c r="AD308" s="8"/>
      <c r="AE308" s="8"/>
      <c r="AF308" s="8"/>
      <c r="AI308" s="9"/>
      <c r="AN308" s="9"/>
      <c r="AP308" s="8"/>
      <c r="AQ308" s="10"/>
      <c r="AR308" s="10"/>
      <c r="AS308" s="8"/>
      <c r="AT308" s="8"/>
      <c r="AU308" s="8"/>
    </row>
    <row r="309" spans="20:47" x14ac:dyDescent="0.4">
      <c r="T309" s="5"/>
      <c r="U309" s="8"/>
      <c r="V309" s="8"/>
      <c r="X309" s="5"/>
      <c r="AB309" s="5"/>
      <c r="AC309" s="8"/>
      <c r="AD309" s="8"/>
      <c r="AE309" s="8"/>
      <c r="AF309" s="8"/>
      <c r="AI309" s="9"/>
      <c r="AN309" s="9"/>
      <c r="AP309" s="8"/>
      <c r="AQ309" s="10"/>
      <c r="AR309" s="10"/>
      <c r="AS309" s="8"/>
      <c r="AT309" s="8"/>
      <c r="AU309" s="8"/>
    </row>
    <row r="310" spans="20:47" x14ac:dyDescent="0.4">
      <c r="T310" s="5"/>
      <c r="U310" s="8"/>
      <c r="V310" s="8"/>
      <c r="X310" s="5"/>
      <c r="AB310" s="5"/>
      <c r="AC310" s="8"/>
      <c r="AD310" s="8"/>
      <c r="AE310" s="8"/>
      <c r="AF310" s="8"/>
      <c r="AI310" s="9"/>
      <c r="AN310" s="9"/>
      <c r="AP310" s="8"/>
      <c r="AQ310" s="10"/>
      <c r="AR310" s="10"/>
      <c r="AS310" s="8"/>
      <c r="AT310" s="8"/>
      <c r="AU310" s="8"/>
    </row>
    <row r="311" spans="20:47" x14ac:dyDescent="0.4">
      <c r="T311" s="5"/>
      <c r="U311" s="8"/>
      <c r="V311" s="8"/>
      <c r="X311" s="5"/>
      <c r="AB311" s="5"/>
      <c r="AC311" s="8"/>
      <c r="AD311" s="8"/>
      <c r="AE311" s="8"/>
      <c r="AF311" s="8"/>
      <c r="AI311" s="9"/>
      <c r="AN311" s="9"/>
      <c r="AP311" s="8"/>
      <c r="AQ311" s="10"/>
      <c r="AR311" s="10"/>
      <c r="AS311" s="8"/>
      <c r="AT311" s="8"/>
      <c r="AU311" s="8"/>
    </row>
    <row r="312" spans="20:47" x14ac:dyDescent="0.4">
      <c r="T312" s="5"/>
      <c r="U312" s="8"/>
      <c r="V312" s="8"/>
      <c r="X312" s="5"/>
      <c r="AB312" s="5"/>
      <c r="AC312" s="8"/>
      <c r="AD312" s="8"/>
      <c r="AE312" s="8"/>
      <c r="AF312" s="8"/>
      <c r="AI312" s="9"/>
      <c r="AN312" s="9"/>
      <c r="AP312" s="8"/>
      <c r="AQ312" s="10"/>
      <c r="AR312" s="10"/>
      <c r="AS312" s="8"/>
      <c r="AT312" s="8"/>
      <c r="AU312" s="8"/>
    </row>
    <row r="313" spans="20:47" x14ac:dyDescent="0.4">
      <c r="T313" s="5"/>
      <c r="U313" s="8"/>
      <c r="V313" s="8"/>
      <c r="X313" s="5"/>
      <c r="AB313" s="5"/>
      <c r="AC313" s="8"/>
      <c r="AD313" s="8"/>
      <c r="AE313" s="8"/>
      <c r="AF313" s="8"/>
      <c r="AI313" s="9"/>
      <c r="AN313" s="9"/>
      <c r="AP313" s="8"/>
      <c r="AQ313" s="10"/>
      <c r="AR313" s="10"/>
      <c r="AS313" s="8"/>
      <c r="AT313" s="8"/>
      <c r="AU313" s="8"/>
    </row>
    <row r="314" spans="20:47" x14ac:dyDescent="0.4">
      <c r="T314" s="5"/>
      <c r="U314" s="8"/>
      <c r="V314" s="8"/>
      <c r="X314" s="5"/>
      <c r="AB314" s="5"/>
      <c r="AC314" s="8"/>
      <c r="AD314" s="8"/>
      <c r="AE314" s="8"/>
      <c r="AF314" s="8"/>
      <c r="AI314" s="9"/>
      <c r="AN314" s="9"/>
      <c r="AP314" s="8"/>
      <c r="AQ314" s="10"/>
      <c r="AR314" s="10"/>
      <c r="AS314" s="8"/>
      <c r="AT314" s="8"/>
      <c r="AU314" s="8"/>
    </row>
    <row r="315" spans="20:47" x14ac:dyDescent="0.4">
      <c r="T315" s="5"/>
      <c r="U315" s="8"/>
      <c r="V315" s="8"/>
      <c r="X315" s="5"/>
      <c r="AB315" s="5"/>
      <c r="AC315" s="8"/>
      <c r="AD315" s="8"/>
      <c r="AE315" s="8"/>
      <c r="AF315" s="8"/>
      <c r="AI315" s="9"/>
      <c r="AN315" s="9"/>
      <c r="AP315" s="8"/>
      <c r="AQ315" s="10"/>
      <c r="AR315" s="10"/>
      <c r="AS315" s="8"/>
      <c r="AT315" s="8"/>
      <c r="AU315" s="8"/>
    </row>
    <row r="316" spans="20:47" x14ac:dyDescent="0.4">
      <c r="T316" s="5"/>
      <c r="U316" s="8"/>
      <c r="V316" s="8"/>
      <c r="X316" s="5"/>
      <c r="AB316" s="5"/>
      <c r="AC316" s="8"/>
      <c r="AD316" s="8"/>
      <c r="AE316" s="8"/>
      <c r="AF316" s="8"/>
      <c r="AI316" s="9"/>
      <c r="AN316" s="9"/>
      <c r="AP316" s="8"/>
      <c r="AQ316" s="10"/>
      <c r="AR316" s="10"/>
      <c r="AS316" s="8"/>
      <c r="AT316" s="8"/>
      <c r="AU316" s="8"/>
    </row>
    <row r="317" spans="20:47" x14ac:dyDescent="0.4">
      <c r="T317" s="5"/>
      <c r="U317" s="8"/>
      <c r="V317" s="8"/>
      <c r="X317" s="5"/>
      <c r="AB317" s="5"/>
      <c r="AC317" s="8"/>
      <c r="AD317" s="8"/>
      <c r="AE317" s="8"/>
      <c r="AF317" s="8"/>
      <c r="AI317" s="9"/>
      <c r="AN317" s="9"/>
      <c r="AP317" s="8"/>
      <c r="AQ317" s="10"/>
      <c r="AR317" s="10"/>
      <c r="AS317" s="8"/>
      <c r="AT317" s="8"/>
      <c r="AU317" s="8"/>
    </row>
    <row r="318" spans="20:47" x14ac:dyDescent="0.4">
      <c r="T318" s="5"/>
      <c r="U318" s="8"/>
      <c r="V318" s="8"/>
      <c r="X318" s="5"/>
      <c r="AB318" s="5"/>
      <c r="AC318" s="8"/>
      <c r="AD318" s="8"/>
      <c r="AE318" s="8"/>
      <c r="AF318" s="8"/>
      <c r="AI318" s="9"/>
      <c r="AN318" s="9"/>
      <c r="AP318" s="8"/>
      <c r="AQ318" s="10"/>
      <c r="AR318" s="10"/>
      <c r="AS318" s="8"/>
      <c r="AT318" s="8"/>
      <c r="AU318" s="8"/>
    </row>
    <row r="319" spans="20:47" x14ac:dyDescent="0.4">
      <c r="T319" s="5"/>
      <c r="U319" s="8"/>
      <c r="V319" s="8"/>
      <c r="X319" s="5"/>
      <c r="AB319" s="5"/>
      <c r="AC319" s="8"/>
      <c r="AD319" s="8"/>
      <c r="AE319" s="8"/>
      <c r="AF319" s="8"/>
      <c r="AI319" s="9"/>
      <c r="AN319" s="9"/>
      <c r="AP319" s="8"/>
      <c r="AQ319" s="10"/>
      <c r="AR319" s="10"/>
      <c r="AS319" s="8"/>
      <c r="AT319" s="8"/>
      <c r="AU319" s="8"/>
    </row>
    <row r="320" spans="20:47" x14ac:dyDescent="0.4">
      <c r="T320" s="5"/>
      <c r="U320" s="8"/>
      <c r="V320" s="8"/>
      <c r="X320" s="5"/>
      <c r="AB320" s="5"/>
      <c r="AC320" s="8"/>
      <c r="AD320" s="8"/>
      <c r="AE320" s="8"/>
      <c r="AF320" s="8"/>
      <c r="AI320" s="9"/>
      <c r="AN320" s="9"/>
      <c r="AP320" s="8"/>
      <c r="AQ320" s="10"/>
      <c r="AR320" s="10"/>
      <c r="AS320" s="8"/>
      <c r="AT320" s="8"/>
      <c r="AU320" s="8"/>
    </row>
    <row r="321" spans="20:47" x14ac:dyDescent="0.4">
      <c r="T321" s="5"/>
      <c r="U321" s="8"/>
      <c r="V321" s="8"/>
      <c r="X321" s="5"/>
      <c r="AB321" s="5"/>
      <c r="AC321" s="8"/>
      <c r="AD321" s="8"/>
      <c r="AE321" s="8"/>
      <c r="AF321" s="8"/>
      <c r="AI321" s="9"/>
      <c r="AN321" s="9"/>
      <c r="AP321" s="8"/>
      <c r="AQ321" s="10"/>
      <c r="AR321" s="10"/>
      <c r="AS321" s="8"/>
      <c r="AT321" s="8"/>
      <c r="AU321" s="8"/>
    </row>
    <row r="322" spans="20:47" x14ac:dyDescent="0.4">
      <c r="T322" s="5"/>
      <c r="U322" s="8"/>
      <c r="V322" s="8"/>
      <c r="X322" s="5"/>
      <c r="AB322" s="5"/>
      <c r="AC322" s="8"/>
      <c r="AD322" s="8"/>
      <c r="AE322" s="8"/>
      <c r="AF322" s="8"/>
      <c r="AI322" s="9"/>
      <c r="AN322" s="9"/>
      <c r="AP322" s="8"/>
      <c r="AQ322" s="10"/>
      <c r="AR322" s="10"/>
      <c r="AS322" s="8"/>
      <c r="AT322" s="8"/>
      <c r="AU322" s="8"/>
    </row>
    <row r="323" spans="20:47" x14ac:dyDescent="0.4">
      <c r="T323" s="5"/>
      <c r="U323" s="8"/>
      <c r="V323" s="8"/>
      <c r="X323" s="5"/>
      <c r="AB323" s="5"/>
      <c r="AC323" s="8"/>
      <c r="AD323" s="8"/>
      <c r="AE323" s="8"/>
      <c r="AF323" s="8"/>
      <c r="AI323" s="9"/>
      <c r="AN323" s="9"/>
      <c r="AP323" s="8"/>
      <c r="AQ323" s="10"/>
      <c r="AR323" s="10"/>
      <c r="AS323" s="8"/>
      <c r="AT323" s="8"/>
      <c r="AU323" s="8"/>
    </row>
    <row r="324" spans="20:47" x14ac:dyDescent="0.4">
      <c r="T324" s="5"/>
      <c r="U324" s="8"/>
      <c r="V324" s="8"/>
      <c r="X324" s="5"/>
      <c r="AB324" s="5"/>
      <c r="AC324" s="8"/>
      <c r="AD324" s="8"/>
      <c r="AE324" s="8"/>
      <c r="AF324" s="8"/>
      <c r="AI324" s="9"/>
      <c r="AN324" s="9"/>
      <c r="AP324" s="8"/>
      <c r="AQ324" s="10"/>
      <c r="AR324" s="10"/>
      <c r="AS324" s="8"/>
      <c r="AT324" s="8"/>
      <c r="AU324" s="8"/>
    </row>
    <row r="325" spans="20:47" x14ac:dyDescent="0.4">
      <c r="T325" s="5"/>
      <c r="U325" s="8"/>
      <c r="V325" s="8"/>
      <c r="X325" s="5"/>
      <c r="AB325" s="5"/>
      <c r="AC325" s="8"/>
      <c r="AD325" s="8"/>
      <c r="AE325" s="8"/>
      <c r="AF325" s="8"/>
      <c r="AI325" s="9"/>
      <c r="AN325" s="9"/>
      <c r="AP325" s="8"/>
      <c r="AQ325" s="10"/>
      <c r="AR325" s="10"/>
      <c r="AS325" s="8"/>
      <c r="AT325" s="8"/>
      <c r="AU325" s="8"/>
    </row>
    <row r="326" spans="20:47" x14ac:dyDescent="0.4">
      <c r="T326" s="5"/>
      <c r="U326" s="8"/>
      <c r="V326" s="8"/>
      <c r="X326" s="5"/>
      <c r="AB326" s="5"/>
      <c r="AC326" s="8"/>
      <c r="AD326" s="8"/>
      <c r="AE326" s="8"/>
      <c r="AF326" s="8"/>
      <c r="AI326" s="9"/>
      <c r="AN326" s="9"/>
      <c r="AP326" s="8"/>
      <c r="AQ326" s="10"/>
      <c r="AR326" s="10"/>
      <c r="AS326" s="8"/>
      <c r="AT326" s="8"/>
      <c r="AU326" s="8"/>
    </row>
    <row r="327" spans="20:47" x14ac:dyDescent="0.4">
      <c r="T327" s="5"/>
      <c r="U327" s="8"/>
      <c r="V327" s="8"/>
      <c r="X327" s="5"/>
      <c r="AB327" s="5"/>
      <c r="AC327" s="8"/>
      <c r="AD327" s="8"/>
      <c r="AE327" s="8"/>
      <c r="AF327" s="8"/>
      <c r="AI327" s="9"/>
      <c r="AN327" s="9"/>
      <c r="AP327" s="8"/>
      <c r="AQ327" s="10"/>
      <c r="AR327" s="10"/>
      <c r="AS327" s="8"/>
      <c r="AT327" s="8"/>
      <c r="AU327" s="8"/>
    </row>
    <row r="328" spans="20:47" x14ac:dyDescent="0.4">
      <c r="T328" s="5"/>
      <c r="U328" s="8"/>
      <c r="V328" s="8"/>
      <c r="X328" s="5"/>
      <c r="AB328" s="5"/>
      <c r="AC328" s="8"/>
      <c r="AD328" s="8"/>
      <c r="AE328" s="8"/>
      <c r="AF328" s="8"/>
      <c r="AI328" s="9"/>
      <c r="AN328" s="9"/>
      <c r="AP328" s="8"/>
      <c r="AQ328" s="10"/>
      <c r="AR328" s="10"/>
      <c r="AS328" s="8"/>
      <c r="AT328" s="8"/>
      <c r="AU328" s="8"/>
    </row>
    <row r="329" spans="20:47" x14ac:dyDescent="0.4">
      <c r="T329" s="5"/>
      <c r="U329" s="8"/>
      <c r="V329" s="8"/>
      <c r="X329" s="5"/>
      <c r="AB329" s="5"/>
      <c r="AC329" s="8"/>
      <c r="AD329" s="8"/>
      <c r="AE329" s="8"/>
      <c r="AF329" s="8"/>
      <c r="AI329" s="9"/>
      <c r="AN329" s="9"/>
      <c r="AP329" s="8"/>
      <c r="AQ329" s="10"/>
      <c r="AR329" s="10"/>
      <c r="AS329" s="8"/>
      <c r="AT329" s="8"/>
      <c r="AU329" s="8"/>
    </row>
    <row r="330" spans="20:47" x14ac:dyDescent="0.4">
      <c r="T330" s="5"/>
      <c r="U330" s="8"/>
      <c r="V330" s="8"/>
      <c r="X330" s="5"/>
      <c r="AB330" s="5"/>
      <c r="AC330" s="8"/>
      <c r="AD330" s="8"/>
      <c r="AE330" s="8"/>
      <c r="AF330" s="8"/>
      <c r="AI330" s="9"/>
      <c r="AN330" s="9"/>
      <c r="AP330" s="8"/>
      <c r="AQ330" s="10"/>
      <c r="AR330" s="10"/>
      <c r="AS330" s="8"/>
      <c r="AT330" s="8"/>
      <c r="AU330" s="8"/>
    </row>
    <row r="331" spans="20:47" x14ac:dyDescent="0.4">
      <c r="T331" s="5"/>
      <c r="U331" s="8"/>
      <c r="V331" s="8"/>
      <c r="X331" s="5"/>
      <c r="AB331" s="5"/>
      <c r="AC331" s="8"/>
      <c r="AD331" s="8"/>
      <c r="AE331" s="8"/>
      <c r="AF331" s="8"/>
      <c r="AI331" s="9"/>
      <c r="AN331" s="9"/>
      <c r="AP331" s="8"/>
      <c r="AQ331" s="10"/>
      <c r="AR331" s="10"/>
      <c r="AS331" s="8"/>
      <c r="AT331" s="8"/>
      <c r="AU331" s="8"/>
    </row>
    <row r="332" spans="20:47" x14ac:dyDescent="0.4">
      <c r="T332" s="5"/>
      <c r="U332" s="8"/>
      <c r="V332" s="8"/>
      <c r="X332" s="5"/>
      <c r="AB332" s="5"/>
      <c r="AC332" s="8"/>
      <c r="AD332" s="8"/>
      <c r="AE332" s="8"/>
      <c r="AF332" s="8"/>
      <c r="AI332" s="9"/>
      <c r="AN332" s="9"/>
      <c r="AP332" s="8"/>
      <c r="AQ332" s="10"/>
      <c r="AR332" s="10"/>
      <c r="AS332" s="8"/>
      <c r="AT332" s="8"/>
      <c r="AU332" s="8"/>
    </row>
    <row r="333" spans="20:47" x14ac:dyDescent="0.4">
      <c r="T333" s="5"/>
      <c r="U333" s="8"/>
      <c r="V333" s="8"/>
      <c r="X333" s="5"/>
      <c r="AB333" s="5"/>
      <c r="AC333" s="8"/>
      <c r="AD333" s="8"/>
      <c r="AE333" s="8"/>
      <c r="AF333" s="8"/>
      <c r="AI333" s="9"/>
      <c r="AN333" s="9"/>
      <c r="AP333" s="8"/>
      <c r="AQ333" s="10"/>
      <c r="AR333" s="10"/>
      <c r="AS333" s="8"/>
      <c r="AT333" s="8"/>
      <c r="AU333" s="8"/>
    </row>
    <row r="334" spans="20:47" x14ac:dyDescent="0.4">
      <c r="T334" s="5"/>
      <c r="U334" s="8"/>
      <c r="V334" s="8"/>
      <c r="X334" s="5"/>
      <c r="AB334" s="5"/>
      <c r="AC334" s="8"/>
      <c r="AD334" s="8"/>
      <c r="AE334" s="8"/>
      <c r="AF334" s="8"/>
      <c r="AI334" s="9"/>
      <c r="AN334" s="9"/>
      <c r="AP334" s="8"/>
      <c r="AQ334" s="10"/>
      <c r="AR334" s="10"/>
      <c r="AS334" s="8"/>
      <c r="AT334" s="8"/>
      <c r="AU334" s="8"/>
    </row>
    <row r="335" spans="20:47" x14ac:dyDescent="0.4">
      <c r="T335" s="5"/>
      <c r="U335" s="8"/>
      <c r="V335" s="8"/>
      <c r="X335" s="5"/>
      <c r="AB335" s="5"/>
      <c r="AC335" s="8"/>
      <c r="AD335" s="8"/>
      <c r="AE335" s="8"/>
      <c r="AF335" s="8"/>
      <c r="AI335" s="9"/>
      <c r="AN335" s="9"/>
      <c r="AP335" s="8"/>
      <c r="AQ335" s="10"/>
      <c r="AR335" s="10"/>
      <c r="AS335" s="8"/>
      <c r="AT335" s="8"/>
      <c r="AU335" s="8"/>
    </row>
    <row r="336" spans="20:47" x14ac:dyDescent="0.4">
      <c r="T336" s="5"/>
      <c r="U336" s="8"/>
      <c r="V336" s="8"/>
      <c r="X336" s="5"/>
      <c r="AB336" s="5"/>
      <c r="AC336" s="8"/>
      <c r="AD336" s="8"/>
      <c r="AE336" s="8"/>
      <c r="AF336" s="8"/>
      <c r="AI336" s="9"/>
      <c r="AN336" s="9"/>
      <c r="AP336" s="8"/>
      <c r="AQ336" s="10"/>
      <c r="AR336" s="10"/>
      <c r="AS336" s="8"/>
      <c r="AT336" s="8"/>
      <c r="AU336" s="8"/>
    </row>
    <row r="337" spans="20:47" x14ac:dyDescent="0.4">
      <c r="T337" s="5"/>
      <c r="U337" s="8"/>
      <c r="V337" s="8"/>
      <c r="X337" s="5"/>
      <c r="AB337" s="5"/>
      <c r="AC337" s="8"/>
      <c r="AD337" s="8"/>
      <c r="AE337" s="8"/>
      <c r="AF337" s="8"/>
      <c r="AI337" s="9"/>
      <c r="AN337" s="9"/>
      <c r="AP337" s="8"/>
      <c r="AQ337" s="10"/>
      <c r="AR337" s="10"/>
      <c r="AS337" s="8"/>
      <c r="AT337" s="8"/>
      <c r="AU337" s="8"/>
    </row>
    <row r="338" spans="20:47" x14ac:dyDescent="0.4">
      <c r="T338" s="5"/>
      <c r="U338" s="8"/>
      <c r="V338" s="8"/>
      <c r="X338" s="5"/>
      <c r="AB338" s="5"/>
      <c r="AC338" s="8"/>
      <c r="AD338" s="8"/>
      <c r="AE338" s="8"/>
      <c r="AF338" s="8"/>
      <c r="AI338" s="9"/>
      <c r="AN338" s="9"/>
      <c r="AP338" s="8"/>
      <c r="AQ338" s="10"/>
      <c r="AR338" s="10"/>
      <c r="AS338" s="8"/>
      <c r="AT338" s="8"/>
      <c r="AU338" s="8"/>
    </row>
    <row r="339" spans="20:47" x14ac:dyDescent="0.4">
      <c r="T339" s="5"/>
      <c r="U339" s="8"/>
      <c r="V339" s="8"/>
      <c r="X339" s="5"/>
      <c r="AB339" s="5"/>
      <c r="AC339" s="8"/>
      <c r="AD339" s="8"/>
      <c r="AE339" s="8"/>
      <c r="AF339" s="8"/>
      <c r="AI339" s="9"/>
      <c r="AN339" s="9"/>
      <c r="AP339" s="8"/>
      <c r="AQ339" s="10"/>
      <c r="AR339" s="10"/>
      <c r="AS339" s="8"/>
      <c r="AT339" s="8"/>
      <c r="AU339" s="8"/>
    </row>
    <row r="340" spans="20:47" x14ac:dyDescent="0.4">
      <c r="T340" s="5"/>
      <c r="U340" s="8"/>
      <c r="V340" s="8"/>
      <c r="X340" s="5"/>
      <c r="AB340" s="5"/>
      <c r="AC340" s="8"/>
      <c r="AD340" s="8"/>
      <c r="AE340" s="8"/>
      <c r="AF340" s="8"/>
      <c r="AI340" s="9"/>
      <c r="AN340" s="9"/>
      <c r="AP340" s="8"/>
      <c r="AQ340" s="10"/>
      <c r="AR340" s="10"/>
      <c r="AS340" s="8"/>
      <c r="AT340" s="8"/>
      <c r="AU340" s="8"/>
    </row>
    <row r="341" spans="20:47" x14ac:dyDescent="0.4">
      <c r="T341" s="5"/>
      <c r="U341" s="8"/>
      <c r="V341" s="8"/>
      <c r="X341" s="5"/>
      <c r="AB341" s="5"/>
      <c r="AC341" s="8"/>
      <c r="AD341" s="8"/>
      <c r="AE341" s="8"/>
      <c r="AF341" s="8"/>
      <c r="AI341" s="9"/>
      <c r="AN341" s="9"/>
      <c r="AP341" s="8"/>
      <c r="AQ341" s="10"/>
      <c r="AR341" s="10"/>
      <c r="AS341" s="8"/>
      <c r="AT341" s="8"/>
      <c r="AU341" s="8"/>
    </row>
    <row r="342" spans="20:47" x14ac:dyDescent="0.4">
      <c r="T342" s="5"/>
      <c r="U342" s="8"/>
      <c r="V342" s="8"/>
      <c r="X342" s="5"/>
      <c r="AB342" s="5"/>
      <c r="AC342" s="8"/>
      <c r="AD342" s="8"/>
      <c r="AE342" s="8"/>
      <c r="AF342" s="8"/>
      <c r="AI342" s="9"/>
      <c r="AN342" s="9"/>
      <c r="AP342" s="8"/>
      <c r="AQ342" s="10"/>
      <c r="AR342" s="10"/>
      <c r="AS342" s="8"/>
      <c r="AT342" s="8"/>
      <c r="AU342" s="8"/>
    </row>
    <row r="343" spans="20:47" x14ac:dyDescent="0.4">
      <c r="T343" s="5"/>
      <c r="U343" s="8"/>
      <c r="V343" s="8"/>
      <c r="X343" s="5"/>
      <c r="AB343" s="5"/>
      <c r="AC343" s="8"/>
      <c r="AD343" s="8"/>
      <c r="AE343" s="8"/>
      <c r="AF343" s="8"/>
      <c r="AI343" s="9"/>
      <c r="AN343" s="9"/>
      <c r="AP343" s="8"/>
      <c r="AQ343" s="10"/>
      <c r="AR343" s="10"/>
      <c r="AS343" s="8"/>
      <c r="AT343" s="8"/>
      <c r="AU343" s="8"/>
    </row>
    <row r="344" spans="20:47" x14ac:dyDescent="0.4">
      <c r="T344" s="5"/>
      <c r="U344" s="8"/>
      <c r="V344" s="8"/>
      <c r="X344" s="5"/>
      <c r="AB344" s="5"/>
      <c r="AC344" s="8"/>
      <c r="AD344" s="8"/>
      <c r="AE344" s="8"/>
      <c r="AF344" s="8"/>
      <c r="AI344" s="9"/>
      <c r="AN344" s="9"/>
      <c r="AP344" s="8"/>
      <c r="AQ344" s="10"/>
      <c r="AR344" s="10"/>
      <c r="AS344" s="8"/>
      <c r="AT344" s="8"/>
      <c r="AU344" s="8"/>
    </row>
    <row r="345" spans="20:47" x14ac:dyDescent="0.4">
      <c r="T345" s="5"/>
      <c r="U345" s="8"/>
      <c r="V345" s="8"/>
      <c r="X345" s="5"/>
      <c r="AB345" s="5"/>
      <c r="AC345" s="8"/>
      <c r="AD345" s="8"/>
      <c r="AE345" s="8"/>
      <c r="AF345" s="8"/>
      <c r="AI345" s="9"/>
      <c r="AN345" s="9"/>
      <c r="AP345" s="8"/>
      <c r="AQ345" s="10"/>
      <c r="AR345" s="10"/>
      <c r="AS345" s="8"/>
      <c r="AT345" s="8"/>
      <c r="AU345" s="8"/>
    </row>
    <row r="346" spans="20:47" x14ac:dyDescent="0.4">
      <c r="T346" s="5"/>
      <c r="U346" s="8"/>
      <c r="V346" s="8"/>
      <c r="X346" s="5"/>
      <c r="AB346" s="5"/>
      <c r="AC346" s="8"/>
      <c r="AD346" s="8"/>
      <c r="AE346" s="8"/>
      <c r="AF346" s="8"/>
      <c r="AI346" s="9"/>
      <c r="AN346" s="9"/>
      <c r="AP346" s="8"/>
      <c r="AQ346" s="10"/>
      <c r="AR346" s="10"/>
      <c r="AS346" s="8"/>
      <c r="AT346" s="8"/>
      <c r="AU346" s="8"/>
    </row>
    <row r="347" spans="20:47" x14ac:dyDescent="0.4">
      <c r="T347" s="5"/>
      <c r="U347" s="8"/>
      <c r="V347" s="8"/>
      <c r="X347" s="5"/>
      <c r="AB347" s="5"/>
      <c r="AC347" s="8"/>
      <c r="AD347" s="8"/>
      <c r="AE347" s="8"/>
      <c r="AF347" s="8"/>
      <c r="AI347" s="9"/>
      <c r="AN347" s="9"/>
      <c r="AP347" s="8"/>
      <c r="AQ347" s="10"/>
      <c r="AR347" s="10"/>
      <c r="AS347" s="8"/>
      <c r="AT347" s="8"/>
      <c r="AU347" s="8"/>
    </row>
    <row r="348" spans="20:47" x14ac:dyDescent="0.4">
      <c r="T348" s="5"/>
      <c r="U348" s="8"/>
      <c r="V348" s="8"/>
      <c r="X348" s="5"/>
      <c r="AB348" s="5"/>
      <c r="AC348" s="8"/>
      <c r="AD348" s="8"/>
      <c r="AE348" s="8"/>
      <c r="AF348" s="8"/>
      <c r="AI348" s="9"/>
      <c r="AN348" s="9"/>
      <c r="AP348" s="8"/>
      <c r="AQ348" s="10"/>
      <c r="AR348" s="10"/>
      <c r="AS348" s="8"/>
      <c r="AT348" s="8"/>
      <c r="AU348" s="8"/>
    </row>
    <row r="349" spans="20:47" x14ac:dyDescent="0.4">
      <c r="T349" s="5"/>
      <c r="U349" s="8"/>
      <c r="V349" s="8"/>
      <c r="X349" s="5"/>
      <c r="AB349" s="5"/>
      <c r="AC349" s="8"/>
      <c r="AD349" s="8"/>
      <c r="AE349" s="8"/>
      <c r="AF349" s="8"/>
      <c r="AI349" s="9"/>
      <c r="AN349" s="9"/>
      <c r="AP349" s="8"/>
      <c r="AQ349" s="10"/>
      <c r="AR349" s="10"/>
      <c r="AS349" s="8"/>
      <c r="AT349" s="8"/>
      <c r="AU349" s="8"/>
    </row>
    <row r="350" spans="20:47" x14ac:dyDescent="0.4">
      <c r="T350" s="5"/>
      <c r="U350" s="8"/>
      <c r="V350" s="8"/>
      <c r="X350" s="5"/>
      <c r="AB350" s="5"/>
      <c r="AC350" s="8"/>
      <c r="AD350" s="8"/>
      <c r="AE350" s="8"/>
      <c r="AF350" s="8"/>
      <c r="AI350" s="9"/>
      <c r="AN350" s="9"/>
      <c r="AP350" s="8"/>
      <c r="AQ350" s="10"/>
      <c r="AR350" s="10"/>
      <c r="AS350" s="8"/>
      <c r="AT350" s="8"/>
      <c r="AU350" s="8"/>
    </row>
    <row r="351" spans="20:47" x14ac:dyDescent="0.4">
      <c r="T351" s="5"/>
      <c r="U351" s="8"/>
      <c r="V351" s="8"/>
      <c r="X351" s="5"/>
      <c r="AB351" s="5"/>
      <c r="AC351" s="8"/>
      <c r="AD351" s="8"/>
      <c r="AE351" s="8"/>
      <c r="AF351" s="8"/>
      <c r="AI351" s="9"/>
      <c r="AN351" s="9"/>
      <c r="AP351" s="8"/>
      <c r="AQ351" s="10"/>
      <c r="AR351" s="10"/>
      <c r="AS351" s="8"/>
      <c r="AT351" s="8"/>
      <c r="AU351" s="8"/>
    </row>
    <row r="352" spans="20:47" x14ac:dyDescent="0.4">
      <c r="T352" s="5"/>
      <c r="U352" s="8"/>
      <c r="V352" s="8"/>
      <c r="X352" s="5"/>
      <c r="AB352" s="5"/>
      <c r="AC352" s="8"/>
      <c r="AD352" s="8"/>
      <c r="AE352" s="8"/>
      <c r="AF352" s="8"/>
      <c r="AI352" s="9"/>
      <c r="AN352" s="9"/>
      <c r="AP352" s="8"/>
      <c r="AQ352" s="10"/>
      <c r="AR352" s="10"/>
      <c r="AS352" s="8"/>
      <c r="AT352" s="8"/>
      <c r="AU352" s="8"/>
    </row>
    <row r="353" spans="20:47" x14ac:dyDescent="0.4">
      <c r="T353" s="5"/>
      <c r="U353" s="8"/>
      <c r="V353" s="8"/>
      <c r="X353" s="5"/>
      <c r="AB353" s="5"/>
      <c r="AC353" s="8"/>
      <c r="AD353" s="8"/>
      <c r="AE353" s="8"/>
      <c r="AF353" s="8"/>
      <c r="AI353" s="9"/>
      <c r="AN353" s="9"/>
      <c r="AP353" s="8"/>
      <c r="AQ353" s="10"/>
      <c r="AR353" s="10"/>
      <c r="AS353" s="8"/>
      <c r="AT353" s="8"/>
      <c r="AU353" s="8"/>
    </row>
    <row r="354" spans="20:47" x14ac:dyDescent="0.4">
      <c r="T354" s="5"/>
      <c r="U354" s="8"/>
      <c r="V354" s="8"/>
      <c r="X354" s="5"/>
      <c r="AB354" s="5"/>
      <c r="AC354" s="8"/>
      <c r="AD354" s="8"/>
      <c r="AE354" s="8"/>
      <c r="AF354" s="8"/>
      <c r="AI354" s="9"/>
      <c r="AN354" s="9"/>
      <c r="AP354" s="8"/>
      <c r="AQ354" s="10"/>
      <c r="AR354" s="10"/>
      <c r="AS354" s="8"/>
      <c r="AT354" s="8"/>
      <c r="AU354" s="8"/>
    </row>
    <row r="355" spans="20:47" x14ac:dyDescent="0.4">
      <c r="T355" s="5"/>
      <c r="U355" s="8"/>
      <c r="V355" s="8"/>
      <c r="X355" s="5"/>
      <c r="AB355" s="5"/>
      <c r="AC355" s="8"/>
      <c r="AD355" s="8"/>
      <c r="AE355" s="8"/>
      <c r="AF355" s="8"/>
      <c r="AI355" s="9"/>
      <c r="AN355" s="9"/>
      <c r="AP355" s="8"/>
      <c r="AQ355" s="10"/>
      <c r="AR355" s="10"/>
      <c r="AS355" s="8"/>
      <c r="AT355" s="8"/>
      <c r="AU355" s="8"/>
    </row>
    <row r="356" spans="20:47" x14ac:dyDescent="0.4">
      <c r="T356" s="5"/>
      <c r="U356" s="8"/>
      <c r="V356" s="8"/>
      <c r="X356" s="5"/>
      <c r="AB356" s="5"/>
      <c r="AC356" s="8"/>
      <c r="AD356" s="8"/>
      <c r="AE356" s="8"/>
      <c r="AF356" s="8"/>
      <c r="AI356" s="9"/>
      <c r="AN356" s="9"/>
      <c r="AP356" s="8"/>
      <c r="AQ356" s="10"/>
      <c r="AR356" s="10"/>
      <c r="AS356" s="8"/>
      <c r="AT356" s="8"/>
      <c r="AU356" s="8"/>
    </row>
    <row r="357" spans="20:47" x14ac:dyDescent="0.4">
      <c r="T357" s="5"/>
      <c r="U357" s="8"/>
      <c r="V357" s="8"/>
      <c r="X357" s="5"/>
      <c r="AB357" s="5"/>
      <c r="AC357" s="8"/>
      <c r="AD357" s="8"/>
      <c r="AE357" s="8"/>
      <c r="AF357" s="8"/>
      <c r="AI357" s="9"/>
      <c r="AN357" s="9"/>
      <c r="AP357" s="8"/>
      <c r="AQ357" s="10"/>
      <c r="AR357" s="10"/>
      <c r="AS357" s="8"/>
      <c r="AT357" s="8"/>
      <c r="AU357" s="8"/>
    </row>
    <row r="358" spans="20:47" x14ac:dyDescent="0.4">
      <c r="T358" s="5"/>
      <c r="U358" s="8"/>
      <c r="V358" s="8"/>
      <c r="X358" s="5"/>
      <c r="AB358" s="5"/>
      <c r="AC358" s="8"/>
      <c r="AD358" s="8"/>
      <c r="AE358" s="8"/>
      <c r="AF358" s="8"/>
      <c r="AI358" s="9"/>
      <c r="AN358" s="9"/>
      <c r="AP358" s="8"/>
      <c r="AQ358" s="10"/>
      <c r="AR358" s="10"/>
      <c r="AS358" s="8"/>
      <c r="AT358" s="8"/>
      <c r="AU358" s="8"/>
    </row>
    <row r="359" spans="20:47" x14ac:dyDescent="0.4">
      <c r="T359" s="5"/>
      <c r="U359" s="8"/>
      <c r="V359" s="8"/>
      <c r="X359" s="5"/>
      <c r="AB359" s="5"/>
      <c r="AC359" s="8"/>
      <c r="AD359" s="8"/>
      <c r="AE359" s="8"/>
      <c r="AF359" s="8"/>
      <c r="AI359" s="9"/>
      <c r="AN359" s="9"/>
      <c r="AP359" s="8"/>
      <c r="AQ359" s="10"/>
      <c r="AR359" s="10"/>
      <c r="AS359" s="8"/>
      <c r="AT359" s="8"/>
      <c r="AU359" s="8"/>
    </row>
    <row r="360" spans="20:47" x14ac:dyDescent="0.4">
      <c r="T360" s="5"/>
      <c r="U360" s="8"/>
      <c r="V360" s="8"/>
      <c r="X360" s="5"/>
      <c r="AB360" s="5"/>
      <c r="AC360" s="8"/>
      <c r="AD360" s="8"/>
      <c r="AE360" s="8"/>
      <c r="AF360" s="8"/>
      <c r="AI360" s="9"/>
      <c r="AN360" s="9"/>
      <c r="AP360" s="8"/>
      <c r="AQ360" s="10"/>
      <c r="AR360" s="10"/>
      <c r="AS360" s="8"/>
      <c r="AT360" s="8"/>
      <c r="AU360" s="8"/>
    </row>
    <row r="361" spans="20:47" x14ac:dyDescent="0.4">
      <c r="T361" s="5"/>
      <c r="U361" s="8"/>
      <c r="V361" s="8"/>
      <c r="X361" s="5"/>
      <c r="AB361" s="5"/>
      <c r="AC361" s="8"/>
      <c r="AD361" s="8"/>
      <c r="AE361" s="8"/>
      <c r="AF361" s="8"/>
      <c r="AI361" s="9"/>
      <c r="AN361" s="9"/>
      <c r="AP361" s="8"/>
      <c r="AQ361" s="10"/>
      <c r="AR361" s="10"/>
      <c r="AS361" s="8"/>
      <c r="AT361" s="8"/>
      <c r="AU361" s="8"/>
    </row>
    <row r="362" spans="20:47" x14ac:dyDescent="0.4">
      <c r="T362" s="5"/>
      <c r="U362" s="8"/>
      <c r="V362" s="8"/>
      <c r="X362" s="5"/>
      <c r="AB362" s="5"/>
      <c r="AC362" s="8"/>
      <c r="AD362" s="8"/>
      <c r="AE362" s="8"/>
      <c r="AF362" s="8"/>
      <c r="AI362" s="9"/>
      <c r="AN362" s="9"/>
      <c r="AP362" s="8"/>
      <c r="AQ362" s="10"/>
      <c r="AR362" s="10"/>
      <c r="AS362" s="8"/>
      <c r="AT362" s="8"/>
      <c r="AU362" s="8"/>
    </row>
    <row r="363" spans="20:47" x14ac:dyDescent="0.4">
      <c r="T363" s="5"/>
      <c r="U363" s="8"/>
      <c r="V363" s="8"/>
      <c r="X363" s="5"/>
      <c r="AB363" s="5"/>
      <c r="AC363" s="8"/>
      <c r="AD363" s="8"/>
      <c r="AE363" s="8"/>
      <c r="AF363" s="8"/>
      <c r="AI363" s="9"/>
      <c r="AN363" s="9"/>
      <c r="AP363" s="8"/>
      <c r="AQ363" s="10"/>
      <c r="AR363" s="10"/>
      <c r="AS363" s="8"/>
      <c r="AT363" s="8"/>
      <c r="AU363" s="8"/>
    </row>
    <row r="364" spans="20:47" x14ac:dyDescent="0.4">
      <c r="T364" s="5"/>
      <c r="U364" s="8"/>
      <c r="V364" s="8"/>
      <c r="X364" s="5"/>
      <c r="AB364" s="5"/>
      <c r="AC364" s="8"/>
      <c r="AD364" s="8"/>
      <c r="AE364" s="8"/>
      <c r="AF364" s="8"/>
      <c r="AI364" s="9"/>
      <c r="AN364" s="9"/>
      <c r="AP364" s="8"/>
      <c r="AQ364" s="10"/>
      <c r="AR364" s="10"/>
      <c r="AS364" s="8"/>
      <c r="AT364" s="8"/>
      <c r="AU364" s="8"/>
    </row>
    <row r="365" spans="20:47" x14ac:dyDescent="0.4">
      <c r="T365" s="5"/>
      <c r="U365" s="8"/>
      <c r="V365" s="8"/>
      <c r="X365" s="5"/>
      <c r="AB365" s="5"/>
      <c r="AC365" s="8"/>
      <c r="AD365" s="8"/>
      <c r="AE365" s="8"/>
      <c r="AF365" s="8"/>
      <c r="AI365" s="9"/>
      <c r="AN365" s="9"/>
      <c r="AP365" s="8"/>
      <c r="AQ365" s="10"/>
      <c r="AR365" s="10"/>
      <c r="AS365" s="8"/>
      <c r="AT365" s="8"/>
      <c r="AU365" s="8"/>
    </row>
    <row r="366" spans="20:47" x14ac:dyDescent="0.4">
      <c r="T366" s="5"/>
      <c r="U366" s="8"/>
      <c r="V366" s="8"/>
      <c r="X366" s="5"/>
      <c r="AB366" s="5"/>
      <c r="AC366" s="8"/>
      <c r="AD366" s="8"/>
      <c r="AE366" s="8"/>
      <c r="AF366" s="8"/>
      <c r="AI366" s="9"/>
      <c r="AN366" s="9"/>
      <c r="AP366" s="8"/>
      <c r="AQ366" s="10"/>
      <c r="AR366" s="10"/>
      <c r="AS366" s="8"/>
      <c r="AT366" s="8"/>
      <c r="AU366" s="8"/>
    </row>
    <row r="367" spans="20:47" x14ac:dyDescent="0.4">
      <c r="T367" s="5"/>
      <c r="U367" s="8"/>
      <c r="V367" s="8"/>
      <c r="X367" s="5"/>
      <c r="AB367" s="5"/>
      <c r="AC367" s="8"/>
      <c r="AD367" s="8"/>
      <c r="AE367" s="8"/>
      <c r="AF367" s="8"/>
      <c r="AI367" s="9"/>
      <c r="AN367" s="9"/>
      <c r="AP367" s="8"/>
      <c r="AQ367" s="10"/>
      <c r="AR367" s="10"/>
      <c r="AS367" s="8"/>
      <c r="AT367" s="8"/>
      <c r="AU367" s="8"/>
    </row>
    <row r="368" spans="20:47" x14ac:dyDescent="0.4">
      <c r="T368" s="5"/>
      <c r="U368" s="8"/>
      <c r="V368" s="8"/>
      <c r="X368" s="5"/>
      <c r="AB368" s="5"/>
      <c r="AC368" s="8"/>
      <c r="AD368" s="8"/>
      <c r="AE368" s="8"/>
      <c r="AF368" s="8"/>
      <c r="AI368" s="9"/>
      <c r="AN368" s="9"/>
      <c r="AP368" s="8"/>
      <c r="AQ368" s="10"/>
      <c r="AR368" s="10"/>
      <c r="AS368" s="8"/>
      <c r="AT368" s="8"/>
      <c r="AU368" s="8"/>
    </row>
    <row r="369" spans="20:47" x14ac:dyDescent="0.4">
      <c r="T369" s="5"/>
      <c r="U369" s="8"/>
      <c r="V369" s="8"/>
      <c r="X369" s="5"/>
      <c r="AB369" s="5"/>
      <c r="AC369" s="8"/>
      <c r="AD369" s="8"/>
      <c r="AE369" s="8"/>
      <c r="AF369" s="8"/>
      <c r="AI369" s="9"/>
      <c r="AN369" s="9"/>
      <c r="AP369" s="8"/>
      <c r="AQ369" s="10"/>
      <c r="AR369" s="10"/>
      <c r="AS369" s="8"/>
      <c r="AT369" s="8"/>
      <c r="AU369" s="8"/>
    </row>
    <row r="370" spans="20:47" x14ac:dyDescent="0.4">
      <c r="T370" s="5"/>
      <c r="U370" s="8"/>
      <c r="V370" s="8"/>
      <c r="X370" s="5"/>
      <c r="AB370" s="5"/>
      <c r="AC370" s="8"/>
      <c r="AD370" s="8"/>
      <c r="AE370" s="8"/>
      <c r="AF370" s="8"/>
      <c r="AI370" s="9"/>
      <c r="AN370" s="9"/>
      <c r="AP370" s="8"/>
      <c r="AQ370" s="10"/>
      <c r="AR370" s="10"/>
      <c r="AS370" s="8"/>
      <c r="AT370" s="8"/>
      <c r="AU370" s="8"/>
    </row>
    <row r="371" spans="20:47" x14ac:dyDescent="0.4">
      <c r="T371" s="5"/>
      <c r="U371" s="8"/>
      <c r="V371" s="8"/>
      <c r="X371" s="5"/>
      <c r="AB371" s="5"/>
      <c r="AC371" s="8"/>
      <c r="AD371" s="8"/>
      <c r="AE371" s="8"/>
      <c r="AF371" s="8"/>
      <c r="AI371" s="9"/>
      <c r="AN371" s="9"/>
      <c r="AP371" s="8"/>
      <c r="AQ371" s="10"/>
      <c r="AR371" s="10"/>
      <c r="AS371" s="8"/>
      <c r="AT371" s="8"/>
      <c r="AU371" s="8"/>
    </row>
    <row r="372" spans="20:47" x14ac:dyDescent="0.4">
      <c r="T372" s="5"/>
      <c r="U372" s="8"/>
      <c r="V372" s="8"/>
      <c r="X372" s="5"/>
      <c r="AB372" s="5"/>
      <c r="AC372" s="8"/>
      <c r="AD372" s="8"/>
      <c r="AE372" s="8"/>
      <c r="AF372" s="8"/>
      <c r="AI372" s="9"/>
      <c r="AN372" s="9"/>
      <c r="AP372" s="8"/>
      <c r="AQ372" s="10"/>
      <c r="AR372" s="10"/>
      <c r="AS372" s="8"/>
      <c r="AT372" s="8"/>
      <c r="AU372" s="8"/>
    </row>
    <row r="373" spans="20:47" x14ac:dyDescent="0.4">
      <c r="T373" s="5"/>
      <c r="U373" s="8"/>
      <c r="V373" s="8"/>
      <c r="X373" s="5"/>
      <c r="AB373" s="5"/>
      <c r="AC373" s="8"/>
      <c r="AD373" s="8"/>
      <c r="AE373" s="8"/>
      <c r="AF373" s="8"/>
      <c r="AI373" s="9"/>
      <c r="AN373" s="9"/>
      <c r="AP373" s="8"/>
      <c r="AQ373" s="10"/>
      <c r="AR373" s="10"/>
      <c r="AS373" s="8"/>
      <c r="AT373" s="8"/>
      <c r="AU373" s="8"/>
    </row>
    <row r="374" spans="20:47" x14ac:dyDescent="0.4">
      <c r="T374" s="5"/>
      <c r="U374" s="8"/>
      <c r="V374" s="8"/>
      <c r="X374" s="5"/>
      <c r="AB374" s="5"/>
      <c r="AC374" s="8"/>
      <c r="AD374" s="8"/>
      <c r="AE374" s="8"/>
      <c r="AF374" s="8"/>
      <c r="AI374" s="9"/>
      <c r="AN374" s="9"/>
      <c r="AP374" s="8"/>
      <c r="AQ374" s="10"/>
      <c r="AR374" s="10"/>
      <c r="AS374" s="8"/>
      <c r="AT374" s="8"/>
      <c r="AU374" s="8"/>
    </row>
    <row r="375" spans="20:47" x14ac:dyDescent="0.4">
      <c r="T375" s="5"/>
      <c r="U375" s="8"/>
      <c r="V375" s="8"/>
      <c r="X375" s="5"/>
      <c r="AB375" s="5"/>
      <c r="AC375" s="8"/>
      <c r="AD375" s="8"/>
      <c r="AE375" s="8"/>
      <c r="AF375" s="8"/>
      <c r="AI375" s="9"/>
      <c r="AN375" s="9"/>
      <c r="AP375" s="8"/>
      <c r="AQ375" s="10"/>
      <c r="AR375" s="10"/>
      <c r="AS375" s="8"/>
      <c r="AT375" s="8"/>
      <c r="AU375" s="8"/>
    </row>
    <row r="376" spans="20:47" x14ac:dyDescent="0.4">
      <c r="T376" s="5"/>
      <c r="U376" s="8"/>
      <c r="V376" s="8"/>
      <c r="X376" s="5"/>
      <c r="AB376" s="5"/>
      <c r="AC376" s="8"/>
      <c r="AD376" s="8"/>
      <c r="AE376" s="8"/>
      <c r="AF376" s="8"/>
      <c r="AI376" s="9"/>
      <c r="AN376" s="9"/>
      <c r="AP376" s="8"/>
      <c r="AQ376" s="10"/>
      <c r="AR376" s="10"/>
      <c r="AS376" s="8"/>
      <c r="AT376" s="8"/>
      <c r="AU376" s="8"/>
    </row>
    <row r="377" spans="20:47" x14ac:dyDescent="0.4">
      <c r="T377" s="5"/>
      <c r="U377" s="8"/>
      <c r="V377" s="8"/>
      <c r="X377" s="5"/>
      <c r="AB377" s="5"/>
      <c r="AC377" s="8"/>
      <c r="AD377" s="8"/>
      <c r="AE377" s="8"/>
      <c r="AF377" s="8"/>
      <c r="AI377" s="9"/>
      <c r="AN377" s="9"/>
      <c r="AP377" s="8"/>
      <c r="AQ377" s="10"/>
      <c r="AR377" s="10"/>
      <c r="AS377" s="8"/>
      <c r="AT377" s="8"/>
      <c r="AU377" s="8"/>
    </row>
    <row r="378" spans="20:47" x14ac:dyDescent="0.4">
      <c r="T378" s="5"/>
      <c r="U378" s="8"/>
      <c r="V378" s="8"/>
      <c r="X378" s="5"/>
      <c r="AB378" s="5"/>
      <c r="AC378" s="8"/>
      <c r="AD378" s="8"/>
      <c r="AE378" s="8"/>
      <c r="AF378" s="8"/>
      <c r="AI378" s="9"/>
      <c r="AN378" s="9"/>
      <c r="AP378" s="8"/>
      <c r="AQ378" s="10"/>
      <c r="AR378" s="10"/>
      <c r="AS378" s="8"/>
      <c r="AT378" s="8"/>
      <c r="AU378" s="8"/>
    </row>
    <row r="379" spans="20:47" x14ac:dyDescent="0.4">
      <c r="T379" s="5"/>
      <c r="U379" s="8"/>
      <c r="V379" s="8"/>
      <c r="X379" s="5"/>
      <c r="AB379" s="5"/>
      <c r="AC379" s="8"/>
      <c r="AD379" s="8"/>
      <c r="AE379" s="8"/>
      <c r="AF379" s="8"/>
      <c r="AI379" s="9"/>
      <c r="AN379" s="9"/>
      <c r="AP379" s="8"/>
      <c r="AQ379" s="10"/>
      <c r="AR379" s="10"/>
      <c r="AS379" s="8"/>
      <c r="AT379" s="8"/>
      <c r="AU379" s="8"/>
    </row>
    <row r="380" spans="20:47" x14ac:dyDescent="0.4">
      <c r="T380" s="5"/>
      <c r="U380" s="8"/>
      <c r="V380" s="8"/>
      <c r="X380" s="5"/>
      <c r="AB380" s="5"/>
      <c r="AC380" s="8"/>
      <c r="AD380" s="8"/>
      <c r="AE380" s="8"/>
      <c r="AF380" s="8"/>
      <c r="AI380" s="9"/>
      <c r="AN380" s="9"/>
      <c r="AP380" s="8"/>
      <c r="AQ380" s="10"/>
      <c r="AR380" s="10"/>
      <c r="AS380" s="8"/>
      <c r="AT380" s="8"/>
      <c r="AU380" s="8"/>
    </row>
    <row r="381" spans="20:47" x14ac:dyDescent="0.4">
      <c r="T381" s="5"/>
      <c r="U381" s="8"/>
      <c r="V381" s="8"/>
      <c r="X381" s="5"/>
      <c r="AB381" s="5"/>
      <c r="AC381" s="8"/>
      <c r="AD381" s="8"/>
      <c r="AE381" s="8"/>
      <c r="AF381" s="8"/>
      <c r="AI381" s="9"/>
      <c r="AN381" s="9"/>
      <c r="AP381" s="8"/>
      <c r="AQ381" s="10"/>
      <c r="AR381" s="10"/>
      <c r="AS381" s="8"/>
      <c r="AT381" s="8"/>
      <c r="AU381" s="8"/>
    </row>
    <row r="382" spans="20:47" x14ac:dyDescent="0.4">
      <c r="T382" s="5"/>
      <c r="U382" s="8"/>
      <c r="V382" s="8"/>
      <c r="X382" s="5"/>
      <c r="AB382" s="5"/>
      <c r="AC382" s="8"/>
      <c r="AD382" s="8"/>
      <c r="AE382" s="8"/>
      <c r="AF382" s="8"/>
      <c r="AI382" s="9"/>
      <c r="AN382" s="9"/>
      <c r="AP382" s="8"/>
      <c r="AQ382" s="10"/>
      <c r="AR382" s="10"/>
      <c r="AS382" s="8"/>
      <c r="AT382" s="8"/>
      <c r="AU382" s="8"/>
    </row>
    <row r="383" spans="20:47" x14ac:dyDescent="0.4">
      <c r="T383" s="5"/>
      <c r="U383" s="8"/>
      <c r="V383" s="8"/>
      <c r="X383" s="5"/>
      <c r="AB383" s="5"/>
      <c r="AC383" s="8"/>
      <c r="AD383" s="8"/>
      <c r="AE383" s="8"/>
      <c r="AF383" s="8"/>
      <c r="AI383" s="9"/>
      <c r="AN383" s="9"/>
      <c r="AP383" s="8"/>
      <c r="AQ383" s="10"/>
      <c r="AR383" s="10"/>
      <c r="AS383" s="8"/>
      <c r="AT383" s="8"/>
      <c r="AU383" s="8"/>
    </row>
    <row r="384" spans="20:47" x14ac:dyDescent="0.4">
      <c r="T384" s="5"/>
      <c r="U384" s="8"/>
      <c r="V384" s="8"/>
      <c r="X384" s="5"/>
      <c r="AB384" s="5"/>
      <c r="AC384" s="8"/>
      <c r="AD384" s="8"/>
      <c r="AE384" s="8"/>
      <c r="AF384" s="8"/>
      <c r="AI384" s="9"/>
      <c r="AN384" s="9"/>
      <c r="AP384" s="8"/>
      <c r="AQ384" s="10"/>
      <c r="AR384" s="10"/>
      <c r="AS384" s="8"/>
      <c r="AT384" s="8"/>
      <c r="AU384" s="8"/>
    </row>
    <row r="385" spans="20:47" x14ac:dyDescent="0.4">
      <c r="T385" s="5"/>
      <c r="U385" s="8"/>
      <c r="V385" s="8"/>
      <c r="X385" s="5"/>
      <c r="AB385" s="5"/>
      <c r="AC385" s="8"/>
      <c r="AD385" s="8"/>
      <c r="AE385" s="8"/>
      <c r="AF385" s="8"/>
      <c r="AI385" s="9"/>
      <c r="AN385" s="9"/>
      <c r="AP385" s="8"/>
      <c r="AQ385" s="10"/>
      <c r="AR385" s="10"/>
      <c r="AS385" s="8"/>
      <c r="AT385" s="8"/>
      <c r="AU385" s="8"/>
    </row>
    <row r="386" spans="20:47" x14ac:dyDescent="0.4">
      <c r="T386" s="5"/>
      <c r="U386" s="8"/>
      <c r="V386" s="8"/>
      <c r="X386" s="5"/>
      <c r="AB386" s="5"/>
      <c r="AC386" s="8"/>
      <c r="AD386" s="8"/>
      <c r="AE386" s="8"/>
      <c r="AF386" s="8"/>
      <c r="AI386" s="9"/>
      <c r="AN386" s="9"/>
      <c r="AP386" s="8"/>
      <c r="AQ386" s="10"/>
      <c r="AR386" s="10"/>
      <c r="AS386" s="8"/>
      <c r="AT386" s="8"/>
      <c r="AU386" s="8"/>
    </row>
    <row r="387" spans="20:47" x14ac:dyDescent="0.4">
      <c r="T387" s="5"/>
      <c r="U387" s="8"/>
      <c r="V387" s="8"/>
      <c r="X387" s="5"/>
      <c r="AB387" s="5"/>
      <c r="AC387" s="8"/>
      <c r="AD387" s="8"/>
      <c r="AE387" s="8"/>
      <c r="AF387" s="8"/>
      <c r="AI387" s="9"/>
      <c r="AN387" s="9"/>
      <c r="AP387" s="8"/>
      <c r="AQ387" s="10"/>
      <c r="AR387" s="10"/>
      <c r="AS387" s="8"/>
      <c r="AT387" s="8"/>
      <c r="AU387" s="8"/>
    </row>
    <row r="388" spans="20:47" x14ac:dyDescent="0.4">
      <c r="T388" s="5"/>
      <c r="U388" s="8"/>
      <c r="V388" s="8"/>
      <c r="X388" s="5"/>
      <c r="AB388" s="5"/>
      <c r="AC388" s="8"/>
      <c r="AD388" s="8"/>
      <c r="AE388" s="8"/>
      <c r="AF388" s="8"/>
      <c r="AI388" s="9"/>
      <c r="AN388" s="9"/>
      <c r="AP388" s="8"/>
      <c r="AQ388" s="10"/>
      <c r="AR388" s="10"/>
      <c r="AS388" s="8"/>
      <c r="AT388" s="8"/>
      <c r="AU388" s="8"/>
    </row>
    <row r="389" spans="20:47" x14ac:dyDescent="0.4">
      <c r="T389" s="5"/>
      <c r="U389" s="8"/>
      <c r="V389" s="8"/>
      <c r="X389" s="5"/>
      <c r="AB389" s="5"/>
      <c r="AC389" s="8"/>
      <c r="AD389" s="8"/>
      <c r="AE389" s="8"/>
      <c r="AF389" s="8"/>
      <c r="AI389" s="9"/>
      <c r="AN389" s="9"/>
      <c r="AP389" s="8"/>
      <c r="AQ389" s="10"/>
      <c r="AR389" s="10"/>
      <c r="AS389" s="8"/>
      <c r="AT389" s="8"/>
      <c r="AU389" s="8"/>
    </row>
    <row r="390" spans="20:47" x14ac:dyDescent="0.4">
      <c r="T390" s="5"/>
      <c r="U390" s="8"/>
      <c r="V390" s="8"/>
      <c r="X390" s="5"/>
      <c r="AB390" s="5"/>
      <c r="AC390" s="8"/>
      <c r="AD390" s="8"/>
      <c r="AE390" s="8"/>
      <c r="AF390" s="8"/>
      <c r="AI390" s="9"/>
      <c r="AN390" s="9"/>
      <c r="AP390" s="8"/>
      <c r="AQ390" s="10"/>
      <c r="AR390" s="10"/>
      <c r="AS390" s="8"/>
      <c r="AT390" s="8"/>
      <c r="AU390" s="8"/>
    </row>
    <row r="391" spans="20:47" x14ac:dyDescent="0.4">
      <c r="T391" s="5"/>
      <c r="U391" s="8"/>
      <c r="V391" s="8"/>
      <c r="X391" s="5"/>
      <c r="AB391" s="5"/>
      <c r="AC391" s="8"/>
      <c r="AD391" s="8"/>
      <c r="AE391" s="8"/>
      <c r="AF391" s="8"/>
      <c r="AI391" s="9"/>
      <c r="AN391" s="9"/>
      <c r="AP391" s="8"/>
      <c r="AQ391" s="10"/>
      <c r="AR391" s="10"/>
      <c r="AS391" s="8"/>
      <c r="AT391" s="8"/>
      <c r="AU391" s="8"/>
    </row>
    <row r="392" spans="20:47" x14ac:dyDescent="0.4">
      <c r="T392" s="5"/>
      <c r="U392" s="8"/>
      <c r="V392" s="8"/>
      <c r="X392" s="5"/>
      <c r="AB392" s="5"/>
      <c r="AC392" s="8"/>
      <c r="AD392" s="8"/>
      <c r="AE392" s="8"/>
      <c r="AF392" s="8"/>
      <c r="AI392" s="9"/>
      <c r="AN392" s="9"/>
      <c r="AP392" s="8"/>
      <c r="AQ392" s="10"/>
      <c r="AR392" s="10"/>
      <c r="AS392" s="8"/>
      <c r="AT392" s="8"/>
      <c r="AU392" s="8"/>
    </row>
    <row r="393" spans="20:47" x14ac:dyDescent="0.4">
      <c r="T393" s="5"/>
      <c r="U393" s="8"/>
      <c r="V393" s="8"/>
      <c r="X393" s="5"/>
      <c r="AB393" s="5"/>
      <c r="AC393" s="8"/>
      <c r="AD393" s="8"/>
      <c r="AE393" s="8"/>
      <c r="AF393" s="8"/>
      <c r="AI393" s="9"/>
      <c r="AN393" s="9"/>
      <c r="AP393" s="8"/>
      <c r="AQ393" s="10"/>
      <c r="AR393" s="10"/>
      <c r="AS393" s="8"/>
      <c r="AT393" s="8"/>
      <c r="AU393" s="8"/>
    </row>
    <row r="394" spans="20:47" x14ac:dyDescent="0.4">
      <c r="T394" s="5"/>
      <c r="U394" s="8"/>
      <c r="V394" s="8"/>
      <c r="X394" s="5"/>
      <c r="AB394" s="5"/>
      <c r="AC394" s="8"/>
      <c r="AD394" s="8"/>
      <c r="AE394" s="8"/>
      <c r="AF394" s="8"/>
      <c r="AI394" s="9"/>
      <c r="AN394" s="9"/>
      <c r="AP394" s="8"/>
      <c r="AQ394" s="10"/>
      <c r="AR394" s="10"/>
      <c r="AS394" s="8"/>
      <c r="AT394" s="8"/>
      <c r="AU394" s="8"/>
    </row>
    <row r="395" spans="20:47" x14ac:dyDescent="0.4">
      <c r="T395" s="5"/>
      <c r="U395" s="8"/>
      <c r="V395" s="8"/>
      <c r="X395" s="5"/>
      <c r="AB395" s="5"/>
      <c r="AC395" s="8"/>
      <c r="AD395" s="8"/>
      <c r="AE395" s="8"/>
      <c r="AF395" s="8"/>
      <c r="AI395" s="9"/>
      <c r="AN395" s="9"/>
      <c r="AP395" s="8"/>
      <c r="AQ395" s="10"/>
      <c r="AR395" s="10"/>
      <c r="AS395" s="8"/>
      <c r="AT395" s="8"/>
      <c r="AU395" s="8"/>
    </row>
    <row r="396" spans="20:47" x14ac:dyDescent="0.4">
      <c r="T396" s="5"/>
      <c r="U396" s="8"/>
      <c r="V396" s="8"/>
      <c r="X396" s="5"/>
      <c r="AB396" s="5"/>
      <c r="AC396" s="8"/>
      <c r="AD396" s="8"/>
      <c r="AE396" s="8"/>
      <c r="AF396" s="8"/>
      <c r="AI396" s="9"/>
      <c r="AN396" s="9"/>
      <c r="AP396" s="8"/>
      <c r="AQ396" s="10"/>
      <c r="AR396" s="10"/>
      <c r="AS396" s="8"/>
      <c r="AT396" s="8"/>
      <c r="AU396" s="8"/>
    </row>
    <row r="397" spans="20:47" x14ac:dyDescent="0.4">
      <c r="T397" s="5"/>
      <c r="U397" s="8"/>
      <c r="V397" s="8"/>
      <c r="X397" s="5"/>
      <c r="AB397" s="5"/>
      <c r="AC397" s="8"/>
      <c r="AD397" s="8"/>
      <c r="AE397" s="8"/>
      <c r="AF397" s="8"/>
      <c r="AI397" s="9"/>
      <c r="AN397" s="9"/>
      <c r="AP397" s="8"/>
      <c r="AQ397" s="10"/>
      <c r="AR397" s="10"/>
      <c r="AS397" s="8"/>
      <c r="AT397" s="8"/>
      <c r="AU397" s="8"/>
    </row>
    <row r="398" spans="20:47" x14ac:dyDescent="0.4">
      <c r="T398" s="5"/>
      <c r="U398" s="8"/>
      <c r="V398" s="8"/>
      <c r="X398" s="5"/>
      <c r="AB398" s="5"/>
      <c r="AC398" s="8"/>
      <c r="AD398" s="8"/>
      <c r="AE398" s="8"/>
      <c r="AF398" s="8"/>
      <c r="AI398" s="9"/>
      <c r="AN398" s="9"/>
      <c r="AP398" s="8"/>
      <c r="AQ398" s="10"/>
      <c r="AR398" s="10"/>
      <c r="AS398" s="8"/>
      <c r="AT398" s="8"/>
      <c r="AU398" s="8"/>
    </row>
    <row r="399" spans="20:47" x14ac:dyDescent="0.4">
      <c r="T399" s="5"/>
      <c r="U399" s="8"/>
      <c r="V399" s="8"/>
      <c r="X399" s="5"/>
      <c r="AB399" s="5"/>
      <c r="AC399" s="8"/>
      <c r="AD399" s="8"/>
      <c r="AE399" s="8"/>
      <c r="AF399" s="8"/>
      <c r="AI399" s="9"/>
      <c r="AN399" s="9"/>
      <c r="AP399" s="8"/>
      <c r="AQ399" s="10"/>
      <c r="AR399" s="10"/>
      <c r="AS399" s="8"/>
      <c r="AT399" s="8"/>
      <c r="AU399" s="8"/>
    </row>
    <row r="400" spans="20:47" x14ac:dyDescent="0.4">
      <c r="T400" s="5"/>
      <c r="U400" s="8"/>
      <c r="V400" s="8"/>
      <c r="X400" s="5"/>
      <c r="AB400" s="5"/>
      <c r="AC400" s="8"/>
      <c r="AD400" s="8"/>
      <c r="AE400" s="8"/>
      <c r="AF400" s="8"/>
      <c r="AI400" s="9"/>
      <c r="AN400" s="9"/>
      <c r="AP400" s="8"/>
      <c r="AQ400" s="10"/>
      <c r="AR400" s="10"/>
      <c r="AS400" s="8"/>
      <c r="AT400" s="8"/>
      <c r="AU400" s="8"/>
    </row>
    <row r="401" spans="20:47" x14ac:dyDescent="0.4">
      <c r="T401" s="5"/>
      <c r="U401" s="8"/>
      <c r="V401" s="8"/>
      <c r="X401" s="5"/>
      <c r="AB401" s="5"/>
      <c r="AC401" s="8"/>
      <c r="AD401" s="8"/>
      <c r="AE401" s="8"/>
      <c r="AF401" s="8"/>
      <c r="AI401" s="9"/>
      <c r="AN401" s="9"/>
      <c r="AP401" s="8"/>
      <c r="AQ401" s="10"/>
      <c r="AR401" s="10"/>
      <c r="AS401" s="8"/>
      <c r="AT401" s="8"/>
      <c r="AU401" s="8"/>
    </row>
    <row r="402" spans="20:47" x14ac:dyDescent="0.4">
      <c r="T402" s="5"/>
      <c r="U402" s="8"/>
      <c r="V402" s="8"/>
      <c r="X402" s="5"/>
      <c r="AB402" s="5"/>
      <c r="AC402" s="8"/>
      <c r="AD402" s="8"/>
      <c r="AE402" s="8"/>
      <c r="AF402" s="8"/>
      <c r="AI402" s="9"/>
      <c r="AN402" s="9"/>
      <c r="AP402" s="8"/>
      <c r="AQ402" s="10"/>
      <c r="AR402" s="10"/>
      <c r="AS402" s="8"/>
      <c r="AT402" s="8"/>
      <c r="AU402" s="8"/>
    </row>
    <row r="403" spans="20:47" x14ac:dyDescent="0.4">
      <c r="T403" s="5"/>
      <c r="U403" s="8"/>
      <c r="V403" s="8"/>
      <c r="X403" s="5"/>
      <c r="AB403" s="5"/>
      <c r="AC403" s="8"/>
      <c r="AD403" s="8"/>
      <c r="AE403" s="8"/>
      <c r="AF403" s="8"/>
      <c r="AI403" s="9"/>
      <c r="AN403" s="9"/>
      <c r="AP403" s="8"/>
      <c r="AQ403" s="10"/>
      <c r="AR403" s="10"/>
      <c r="AS403" s="8"/>
      <c r="AT403" s="8"/>
      <c r="AU403" s="8"/>
    </row>
    <row r="404" spans="20:47" x14ac:dyDescent="0.4">
      <c r="T404" s="5"/>
      <c r="U404" s="8"/>
      <c r="V404" s="8"/>
      <c r="X404" s="5"/>
      <c r="AB404" s="5"/>
      <c r="AC404" s="8"/>
      <c r="AD404" s="8"/>
      <c r="AE404" s="8"/>
      <c r="AF404" s="8"/>
      <c r="AI404" s="9"/>
      <c r="AN404" s="9"/>
      <c r="AP404" s="8"/>
      <c r="AQ404" s="10"/>
      <c r="AR404" s="10"/>
      <c r="AS404" s="8"/>
      <c r="AT404" s="8"/>
      <c r="AU404" s="8"/>
    </row>
    <row r="405" spans="20:47" x14ac:dyDescent="0.4">
      <c r="T405" s="5"/>
      <c r="U405" s="8"/>
      <c r="V405" s="8"/>
      <c r="X405" s="5"/>
      <c r="AB405" s="5"/>
      <c r="AC405" s="8"/>
      <c r="AD405" s="8"/>
      <c r="AE405" s="8"/>
      <c r="AF405" s="8"/>
      <c r="AI405" s="9"/>
      <c r="AN405" s="9"/>
      <c r="AP405" s="8"/>
      <c r="AQ405" s="10"/>
      <c r="AR405" s="10"/>
      <c r="AS405" s="8"/>
      <c r="AT405" s="8"/>
      <c r="AU405" s="8"/>
    </row>
    <row r="406" spans="20:47" x14ac:dyDescent="0.4">
      <c r="T406" s="5"/>
      <c r="U406" s="8"/>
      <c r="V406" s="8"/>
      <c r="X406" s="5"/>
      <c r="AB406" s="5"/>
      <c r="AC406" s="8"/>
      <c r="AD406" s="8"/>
      <c r="AE406" s="8"/>
      <c r="AF406" s="8"/>
      <c r="AI406" s="9"/>
      <c r="AN406" s="9"/>
      <c r="AP406" s="8"/>
      <c r="AQ406" s="10"/>
      <c r="AR406" s="10"/>
      <c r="AS406" s="8"/>
      <c r="AT406" s="8"/>
      <c r="AU406" s="8"/>
    </row>
    <row r="407" spans="20:47" x14ac:dyDescent="0.4">
      <c r="T407" s="5"/>
      <c r="U407" s="8"/>
      <c r="V407" s="8"/>
      <c r="X407" s="5"/>
      <c r="AB407" s="5"/>
      <c r="AC407" s="8"/>
      <c r="AD407" s="8"/>
      <c r="AE407" s="8"/>
      <c r="AF407" s="8"/>
      <c r="AI407" s="9"/>
      <c r="AN407" s="9"/>
      <c r="AP407" s="8"/>
      <c r="AQ407" s="10"/>
      <c r="AR407" s="10"/>
      <c r="AS407" s="8"/>
      <c r="AT407" s="8"/>
      <c r="AU407" s="8"/>
    </row>
    <row r="408" spans="20:47" x14ac:dyDescent="0.4">
      <c r="T408" s="5"/>
      <c r="U408" s="8"/>
      <c r="V408" s="8"/>
      <c r="X408" s="5"/>
      <c r="AB408" s="5"/>
      <c r="AC408" s="8"/>
      <c r="AD408" s="8"/>
      <c r="AE408" s="8"/>
      <c r="AF408" s="8"/>
      <c r="AI408" s="9"/>
      <c r="AN408" s="9"/>
      <c r="AP408" s="8"/>
      <c r="AQ408" s="10"/>
      <c r="AR408" s="10"/>
      <c r="AS408" s="8"/>
      <c r="AT408" s="8"/>
      <c r="AU408" s="8"/>
    </row>
    <row r="409" spans="20:47" x14ac:dyDescent="0.4">
      <c r="T409" s="5"/>
      <c r="U409" s="8"/>
      <c r="V409" s="8"/>
      <c r="X409" s="5"/>
      <c r="AB409" s="5"/>
      <c r="AC409" s="8"/>
      <c r="AD409" s="8"/>
      <c r="AE409" s="8"/>
      <c r="AF409" s="8"/>
      <c r="AI409" s="9"/>
      <c r="AN409" s="9"/>
      <c r="AP409" s="8"/>
      <c r="AQ409" s="10"/>
      <c r="AR409" s="10"/>
      <c r="AS409" s="8"/>
      <c r="AT409" s="8"/>
      <c r="AU409" s="8"/>
    </row>
    <row r="410" spans="20:47" x14ac:dyDescent="0.4">
      <c r="T410" s="5"/>
      <c r="U410" s="8"/>
      <c r="V410" s="8"/>
      <c r="X410" s="5"/>
      <c r="AB410" s="5"/>
      <c r="AC410" s="8"/>
      <c r="AD410" s="8"/>
      <c r="AE410" s="8"/>
      <c r="AF410" s="8"/>
      <c r="AI410" s="9"/>
      <c r="AN410" s="9"/>
      <c r="AP410" s="8"/>
      <c r="AQ410" s="10"/>
      <c r="AR410" s="10"/>
      <c r="AS410" s="8"/>
      <c r="AT410" s="8"/>
      <c r="AU410" s="8"/>
    </row>
    <row r="411" spans="20:47" x14ac:dyDescent="0.4">
      <c r="T411" s="5"/>
      <c r="U411" s="8"/>
      <c r="V411" s="8"/>
      <c r="X411" s="5"/>
      <c r="AB411" s="5"/>
      <c r="AC411" s="8"/>
      <c r="AD411" s="8"/>
      <c r="AE411" s="8"/>
      <c r="AF411" s="8"/>
      <c r="AI411" s="9"/>
      <c r="AN411" s="9"/>
      <c r="AP411" s="8"/>
      <c r="AQ411" s="10"/>
      <c r="AR411" s="10"/>
      <c r="AS411" s="8"/>
      <c r="AT411" s="8"/>
      <c r="AU411" s="8"/>
    </row>
    <row r="412" spans="20:47" x14ac:dyDescent="0.4">
      <c r="T412" s="5"/>
      <c r="U412" s="8"/>
      <c r="V412" s="8"/>
      <c r="X412" s="5"/>
      <c r="AB412" s="5"/>
      <c r="AC412" s="8"/>
      <c r="AD412" s="8"/>
      <c r="AE412" s="8"/>
      <c r="AF412" s="8"/>
      <c r="AI412" s="9"/>
      <c r="AN412" s="9"/>
      <c r="AP412" s="8"/>
      <c r="AQ412" s="10"/>
      <c r="AR412" s="10"/>
      <c r="AS412" s="8"/>
      <c r="AT412" s="8"/>
      <c r="AU412" s="8"/>
    </row>
    <row r="413" spans="20:47" x14ac:dyDescent="0.4">
      <c r="T413" s="5"/>
      <c r="U413" s="8"/>
      <c r="V413" s="8"/>
      <c r="X413" s="5"/>
      <c r="AB413" s="5"/>
      <c r="AC413" s="8"/>
      <c r="AD413" s="8"/>
      <c r="AE413" s="8"/>
      <c r="AF413" s="8"/>
      <c r="AI413" s="9"/>
      <c r="AN413" s="9"/>
      <c r="AP413" s="8"/>
      <c r="AQ413" s="10"/>
      <c r="AR413" s="10"/>
      <c r="AS413" s="8"/>
      <c r="AT413" s="8"/>
      <c r="AU413" s="8"/>
    </row>
    <row r="414" spans="20:47" x14ac:dyDescent="0.4">
      <c r="T414" s="5"/>
      <c r="U414" s="8"/>
      <c r="V414" s="8"/>
      <c r="X414" s="5"/>
      <c r="AB414" s="5"/>
      <c r="AC414" s="8"/>
      <c r="AD414" s="8"/>
      <c r="AE414" s="8"/>
      <c r="AF414" s="8"/>
      <c r="AI414" s="9"/>
      <c r="AN414" s="9"/>
      <c r="AP414" s="8"/>
      <c r="AQ414" s="10"/>
      <c r="AR414" s="10"/>
      <c r="AS414" s="8"/>
      <c r="AT414" s="8"/>
      <c r="AU414" s="8"/>
    </row>
    <row r="415" spans="20:47" x14ac:dyDescent="0.4">
      <c r="T415" s="5"/>
      <c r="U415" s="8"/>
      <c r="V415" s="8"/>
      <c r="X415" s="5"/>
      <c r="AB415" s="5"/>
      <c r="AC415" s="8"/>
      <c r="AD415" s="8"/>
      <c r="AE415" s="8"/>
      <c r="AF415" s="8"/>
      <c r="AI415" s="9"/>
      <c r="AN415" s="9"/>
      <c r="AP415" s="8"/>
      <c r="AQ415" s="10"/>
      <c r="AR415" s="10"/>
      <c r="AS415" s="8"/>
      <c r="AT415" s="8"/>
      <c r="AU415" s="8"/>
    </row>
    <row r="416" spans="20:47" x14ac:dyDescent="0.4">
      <c r="T416" s="5"/>
      <c r="U416" s="8"/>
      <c r="V416" s="8"/>
      <c r="X416" s="5"/>
      <c r="AB416" s="5"/>
      <c r="AC416" s="8"/>
      <c r="AD416" s="8"/>
      <c r="AE416" s="8"/>
      <c r="AF416" s="8"/>
      <c r="AI416" s="9"/>
      <c r="AN416" s="9"/>
      <c r="AP416" s="8"/>
      <c r="AQ416" s="10"/>
      <c r="AR416" s="10"/>
      <c r="AS416" s="8"/>
      <c r="AT416" s="8"/>
      <c r="AU416" s="8"/>
    </row>
    <row r="417" spans="20:47" x14ac:dyDescent="0.4">
      <c r="T417" s="5"/>
      <c r="U417" s="8"/>
      <c r="V417" s="8"/>
      <c r="X417" s="5"/>
      <c r="AB417" s="5"/>
      <c r="AC417" s="8"/>
      <c r="AD417" s="8"/>
      <c r="AE417" s="8"/>
      <c r="AF417" s="8"/>
      <c r="AI417" s="9"/>
      <c r="AN417" s="9"/>
      <c r="AP417" s="8"/>
      <c r="AQ417" s="10"/>
      <c r="AR417" s="10"/>
      <c r="AS417" s="8"/>
      <c r="AT417" s="8"/>
      <c r="AU417" s="8"/>
    </row>
    <row r="418" spans="20:47" x14ac:dyDescent="0.4">
      <c r="T418" s="5"/>
      <c r="U418" s="8"/>
      <c r="V418" s="8"/>
      <c r="X418" s="5"/>
      <c r="AB418" s="5"/>
      <c r="AC418" s="8"/>
      <c r="AD418" s="8"/>
      <c r="AE418" s="8"/>
      <c r="AF418" s="8"/>
      <c r="AI418" s="9"/>
      <c r="AN418" s="9"/>
      <c r="AP418" s="8"/>
      <c r="AQ418" s="10"/>
      <c r="AR418" s="10"/>
      <c r="AS418" s="8"/>
      <c r="AT418" s="8"/>
      <c r="AU418" s="8"/>
    </row>
    <row r="419" spans="20:47" x14ac:dyDescent="0.4">
      <c r="T419" s="5"/>
      <c r="U419" s="8"/>
      <c r="V419" s="8"/>
      <c r="X419" s="5"/>
      <c r="AB419" s="5"/>
      <c r="AC419" s="8"/>
      <c r="AD419" s="8"/>
      <c r="AE419" s="8"/>
      <c r="AF419" s="8"/>
      <c r="AI419" s="9"/>
      <c r="AN419" s="9"/>
      <c r="AP419" s="8"/>
      <c r="AQ419" s="10"/>
      <c r="AR419" s="10"/>
      <c r="AS419" s="8"/>
      <c r="AT419" s="8"/>
      <c r="AU419" s="8"/>
    </row>
    <row r="420" spans="20:47" x14ac:dyDescent="0.4">
      <c r="T420" s="5"/>
      <c r="U420" s="8"/>
      <c r="V420" s="8"/>
      <c r="X420" s="5"/>
      <c r="AB420" s="5"/>
      <c r="AC420" s="8"/>
      <c r="AD420" s="8"/>
      <c r="AE420" s="8"/>
      <c r="AF420" s="8"/>
      <c r="AI420" s="9"/>
      <c r="AN420" s="9"/>
      <c r="AP420" s="8"/>
      <c r="AQ420" s="10"/>
      <c r="AR420" s="10"/>
      <c r="AS420" s="8"/>
      <c r="AT420" s="8"/>
      <c r="AU420" s="8"/>
    </row>
    <row r="421" spans="20:47" x14ac:dyDescent="0.4">
      <c r="T421" s="5"/>
      <c r="U421" s="8"/>
      <c r="V421" s="8"/>
      <c r="X421" s="5"/>
      <c r="AB421" s="5"/>
      <c r="AC421" s="8"/>
      <c r="AD421" s="8"/>
      <c r="AE421" s="8"/>
      <c r="AF421" s="8"/>
      <c r="AI421" s="9"/>
      <c r="AN421" s="9"/>
      <c r="AP421" s="8"/>
      <c r="AQ421" s="10"/>
      <c r="AR421" s="10"/>
      <c r="AS421" s="8"/>
      <c r="AT421" s="8"/>
      <c r="AU421" s="8"/>
    </row>
    <row r="422" spans="20:47" x14ac:dyDescent="0.4">
      <c r="T422" s="5"/>
      <c r="U422" s="8"/>
      <c r="V422" s="8"/>
      <c r="X422" s="5"/>
      <c r="AB422" s="5"/>
      <c r="AC422" s="8"/>
      <c r="AD422" s="8"/>
      <c r="AE422" s="8"/>
      <c r="AF422" s="8"/>
      <c r="AI422" s="9"/>
      <c r="AN422" s="9"/>
      <c r="AP422" s="8"/>
      <c r="AQ422" s="10"/>
      <c r="AR422" s="10"/>
      <c r="AS422" s="8"/>
      <c r="AT422" s="8"/>
      <c r="AU422" s="8"/>
    </row>
    <row r="423" spans="20:47" x14ac:dyDescent="0.4">
      <c r="T423" s="5"/>
      <c r="U423" s="8"/>
      <c r="V423" s="8"/>
      <c r="X423" s="5"/>
      <c r="AB423" s="5"/>
      <c r="AC423" s="8"/>
      <c r="AD423" s="8"/>
      <c r="AE423" s="8"/>
      <c r="AF423" s="8"/>
      <c r="AI423" s="9"/>
      <c r="AN423" s="9"/>
      <c r="AP423" s="8"/>
      <c r="AQ423" s="10"/>
      <c r="AR423" s="10"/>
      <c r="AS423" s="8"/>
      <c r="AT423" s="8"/>
      <c r="AU423" s="8"/>
    </row>
    <row r="424" spans="20:47" x14ac:dyDescent="0.4">
      <c r="T424" s="5"/>
      <c r="U424" s="8"/>
      <c r="V424" s="8"/>
      <c r="X424" s="5"/>
      <c r="AB424" s="5"/>
      <c r="AC424" s="8"/>
      <c r="AD424" s="8"/>
      <c r="AE424" s="8"/>
      <c r="AF424" s="8"/>
      <c r="AI424" s="9"/>
      <c r="AN424" s="9"/>
      <c r="AP424" s="8"/>
      <c r="AQ424" s="10"/>
      <c r="AR424" s="10"/>
      <c r="AS424" s="8"/>
      <c r="AT424" s="8"/>
      <c r="AU424" s="8"/>
    </row>
    <row r="425" spans="20:47" x14ac:dyDescent="0.4">
      <c r="T425" s="5"/>
      <c r="U425" s="8"/>
      <c r="V425" s="8"/>
      <c r="X425" s="5"/>
      <c r="AB425" s="5"/>
      <c r="AC425" s="8"/>
      <c r="AD425" s="8"/>
      <c r="AE425" s="8"/>
      <c r="AF425" s="8"/>
      <c r="AI425" s="9"/>
      <c r="AN425" s="9"/>
      <c r="AP425" s="8"/>
      <c r="AQ425" s="10"/>
      <c r="AR425" s="10"/>
      <c r="AS425" s="8"/>
      <c r="AT425" s="8"/>
      <c r="AU425" s="8"/>
    </row>
    <row r="426" spans="20:47" x14ac:dyDescent="0.4">
      <c r="T426" s="5"/>
      <c r="U426" s="8"/>
      <c r="V426" s="8"/>
      <c r="X426" s="5"/>
      <c r="AB426" s="5"/>
      <c r="AC426" s="8"/>
      <c r="AD426" s="8"/>
      <c r="AE426" s="8"/>
      <c r="AF426" s="8"/>
      <c r="AI426" s="9"/>
      <c r="AN426" s="9"/>
      <c r="AP426" s="8"/>
      <c r="AQ426" s="10"/>
      <c r="AR426" s="10"/>
      <c r="AS426" s="8"/>
      <c r="AT426" s="8"/>
      <c r="AU426" s="8"/>
    </row>
    <row r="427" spans="20:47" x14ac:dyDescent="0.4">
      <c r="T427" s="5"/>
      <c r="U427" s="8"/>
      <c r="V427" s="8"/>
      <c r="X427" s="5"/>
      <c r="AB427" s="5"/>
      <c r="AC427" s="8"/>
      <c r="AD427" s="8"/>
      <c r="AE427" s="8"/>
      <c r="AF427" s="8"/>
      <c r="AI427" s="9"/>
      <c r="AN427" s="9"/>
      <c r="AP427" s="8"/>
      <c r="AQ427" s="10"/>
      <c r="AR427" s="10"/>
      <c r="AS427" s="8"/>
      <c r="AT427" s="8"/>
      <c r="AU427" s="8"/>
    </row>
    <row r="428" spans="20:47" x14ac:dyDescent="0.4">
      <c r="T428" s="5"/>
      <c r="U428" s="8"/>
      <c r="V428" s="8"/>
      <c r="X428" s="5"/>
      <c r="AB428" s="5"/>
      <c r="AC428" s="8"/>
      <c r="AD428" s="8"/>
      <c r="AE428" s="8"/>
      <c r="AF428" s="8"/>
      <c r="AI428" s="9"/>
      <c r="AN428" s="9"/>
      <c r="AP428" s="8"/>
      <c r="AQ428" s="10"/>
      <c r="AR428" s="10"/>
      <c r="AS428" s="8"/>
      <c r="AT428" s="8"/>
      <c r="AU428" s="8"/>
    </row>
    <row r="429" spans="20:47" x14ac:dyDescent="0.4">
      <c r="T429" s="5"/>
      <c r="U429" s="8"/>
      <c r="V429" s="8"/>
      <c r="X429" s="5"/>
      <c r="AB429" s="5"/>
      <c r="AC429" s="8"/>
      <c r="AD429" s="8"/>
      <c r="AE429" s="8"/>
      <c r="AF429" s="8"/>
      <c r="AI429" s="9"/>
      <c r="AN429" s="9"/>
      <c r="AP429" s="8"/>
      <c r="AQ429" s="10"/>
      <c r="AR429" s="10"/>
      <c r="AS429" s="8"/>
      <c r="AT429" s="8"/>
      <c r="AU429" s="8"/>
    </row>
    <row r="430" spans="20:47" x14ac:dyDescent="0.4">
      <c r="T430" s="5"/>
      <c r="U430" s="8"/>
      <c r="V430" s="8"/>
      <c r="X430" s="5"/>
      <c r="AB430" s="5"/>
      <c r="AC430" s="8"/>
      <c r="AD430" s="8"/>
      <c r="AE430" s="8"/>
      <c r="AF430" s="8"/>
      <c r="AI430" s="9"/>
      <c r="AN430" s="9"/>
      <c r="AP430" s="8"/>
      <c r="AQ430" s="10"/>
      <c r="AR430" s="10"/>
      <c r="AS430" s="8"/>
      <c r="AT430" s="8"/>
      <c r="AU430" s="8"/>
    </row>
    <row r="431" spans="20:47" x14ac:dyDescent="0.4">
      <c r="T431" s="5"/>
      <c r="U431" s="8"/>
      <c r="V431" s="8"/>
      <c r="X431" s="5"/>
      <c r="AB431" s="5"/>
      <c r="AC431" s="8"/>
      <c r="AD431" s="8"/>
      <c r="AE431" s="8"/>
      <c r="AF431" s="8"/>
      <c r="AI431" s="9"/>
      <c r="AN431" s="9"/>
      <c r="AP431" s="8"/>
      <c r="AQ431" s="10"/>
      <c r="AR431" s="10"/>
      <c r="AS431" s="8"/>
      <c r="AT431" s="8"/>
      <c r="AU431" s="8"/>
    </row>
    <row r="432" spans="20:47" x14ac:dyDescent="0.4">
      <c r="T432" s="5"/>
      <c r="U432" s="8"/>
      <c r="V432" s="8"/>
      <c r="X432" s="5"/>
      <c r="AB432" s="5"/>
      <c r="AC432" s="8"/>
      <c r="AD432" s="8"/>
      <c r="AE432" s="8"/>
      <c r="AF432" s="8"/>
      <c r="AI432" s="9"/>
      <c r="AN432" s="9"/>
      <c r="AP432" s="8"/>
      <c r="AQ432" s="10"/>
      <c r="AR432" s="10"/>
      <c r="AS432" s="8"/>
      <c r="AT432" s="8"/>
      <c r="AU432" s="8"/>
    </row>
    <row r="433" spans="20:47" x14ac:dyDescent="0.4">
      <c r="T433" s="5"/>
      <c r="U433" s="8"/>
      <c r="V433" s="8"/>
      <c r="X433" s="5"/>
      <c r="AB433" s="5"/>
      <c r="AC433" s="8"/>
      <c r="AD433" s="8"/>
      <c r="AE433" s="8"/>
      <c r="AF433" s="8"/>
      <c r="AI433" s="9"/>
      <c r="AN433" s="9"/>
      <c r="AP433" s="8"/>
      <c r="AQ433" s="10"/>
      <c r="AR433" s="10"/>
      <c r="AS433" s="8"/>
      <c r="AT433" s="8"/>
      <c r="AU433" s="8"/>
    </row>
    <row r="434" spans="20:47" x14ac:dyDescent="0.4">
      <c r="T434" s="5"/>
      <c r="U434" s="8"/>
      <c r="V434" s="8"/>
      <c r="X434" s="5"/>
      <c r="AB434" s="5"/>
      <c r="AC434" s="8"/>
      <c r="AD434" s="8"/>
      <c r="AE434" s="8"/>
      <c r="AF434" s="8"/>
      <c r="AI434" s="9"/>
      <c r="AN434" s="9"/>
      <c r="AP434" s="8"/>
      <c r="AQ434" s="10"/>
      <c r="AR434" s="10"/>
      <c r="AS434" s="8"/>
      <c r="AT434" s="8"/>
      <c r="AU434" s="8"/>
    </row>
    <row r="435" spans="20:47" x14ac:dyDescent="0.4">
      <c r="T435" s="5"/>
      <c r="U435" s="8"/>
      <c r="V435" s="8"/>
      <c r="X435" s="5"/>
      <c r="AB435" s="5"/>
      <c r="AC435" s="8"/>
      <c r="AD435" s="8"/>
      <c r="AE435" s="8"/>
      <c r="AF435" s="8"/>
      <c r="AI435" s="9"/>
      <c r="AN435" s="9"/>
      <c r="AP435" s="8"/>
      <c r="AQ435" s="10"/>
      <c r="AR435" s="10"/>
      <c r="AS435" s="8"/>
      <c r="AT435" s="8"/>
      <c r="AU435" s="8"/>
    </row>
    <row r="436" spans="20:47" x14ac:dyDescent="0.4">
      <c r="T436" s="5"/>
      <c r="U436" s="8"/>
      <c r="V436" s="8"/>
      <c r="X436" s="5"/>
      <c r="AB436" s="5"/>
      <c r="AC436" s="8"/>
      <c r="AD436" s="8"/>
      <c r="AE436" s="8"/>
      <c r="AF436" s="8"/>
      <c r="AI436" s="9"/>
      <c r="AN436" s="9"/>
      <c r="AP436" s="8"/>
      <c r="AQ436" s="10"/>
      <c r="AR436" s="10"/>
      <c r="AS436" s="8"/>
      <c r="AT436" s="8"/>
      <c r="AU436" s="8"/>
    </row>
    <row r="437" spans="20:47" x14ac:dyDescent="0.4">
      <c r="T437" s="5"/>
      <c r="U437" s="8"/>
      <c r="V437" s="8"/>
      <c r="X437" s="5"/>
      <c r="AB437" s="5"/>
      <c r="AC437" s="8"/>
      <c r="AD437" s="8"/>
      <c r="AE437" s="8"/>
      <c r="AF437" s="8"/>
      <c r="AI437" s="9"/>
      <c r="AN437" s="9"/>
      <c r="AP437" s="8"/>
      <c r="AQ437" s="10"/>
      <c r="AR437" s="10"/>
      <c r="AS437" s="8"/>
      <c r="AT437" s="8"/>
      <c r="AU437" s="8"/>
    </row>
    <row r="438" spans="20:47" x14ac:dyDescent="0.4">
      <c r="T438" s="5"/>
      <c r="U438" s="8"/>
      <c r="V438" s="8"/>
      <c r="X438" s="5"/>
      <c r="AB438" s="5"/>
      <c r="AC438" s="8"/>
      <c r="AD438" s="8"/>
      <c r="AE438" s="8"/>
      <c r="AF438" s="8"/>
      <c r="AI438" s="9"/>
      <c r="AN438" s="9"/>
      <c r="AP438" s="8"/>
      <c r="AQ438" s="10"/>
      <c r="AR438" s="10"/>
      <c r="AS438" s="8"/>
      <c r="AT438" s="8"/>
      <c r="AU438" s="8"/>
    </row>
    <row r="439" spans="20:47" x14ac:dyDescent="0.4">
      <c r="T439" s="5"/>
      <c r="U439" s="8"/>
      <c r="V439" s="8"/>
      <c r="X439" s="5"/>
      <c r="AB439" s="5"/>
      <c r="AC439" s="8"/>
      <c r="AD439" s="8"/>
      <c r="AE439" s="8"/>
      <c r="AF439" s="8"/>
      <c r="AI439" s="9"/>
      <c r="AN439" s="9"/>
      <c r="AP439" s="8"/>
      <c r="AQ439" s="10"/>
      <c r="AR439" s="10"/>
      <c r="AS439" s="8"/>
      <c r="AT439" s="8"/>
      <c r="AU439" s="8"/>
    </row>
    <row r="440" spans="20:47" x14ac:dyDescent="0.4">
      <c r="T440" s="5"/>
      <c r="U440" s="8"/>
      <c r="V440" s="8"/>
      <c r="X440" s="5"/>
      <c r="AB440" s="5"/>
      <c r="AC440" s="8"/>
      <c r="AD440" s="8"/>
      <c r="AE440" s="8"/>
      <c r="AF440" s="8"/>
      <c r="AI440" s="9"/>
      <c r="AN440" s="9"/>
      <c r="AP440" s="8"/>
      <c r="AQ440" s="10"/>
      <c r="AR440" s="10"/>
      <c r="AS440" s="8"/>
      <c r="AT440" s="8"/>
      <c r="AU440" s="8"/>
    </row>
    <row r="441" spans="20:47" x14ac:dyDescent="0.4">
      <c r="T441" s="5"/>
      <c r="U441" s="8"/>
      <c r="V441" s="8"/>
      <c r="X441" s="5"/>
      <c r="AB441" s="5"/>
      <c r="AC441" s="8"/>
      <c r="AD441" s="8"/>
      <c r="AE441" s="8"/>
      <c r="AF441" s="8"/>
      <c r="AI441" s="9"/>
      <c r="AN441" s="9"/>
      <c r="AP441" s="8"/>
      <c r="AQ441" s="10"/>
      <c r="AR441" s="10"/>
      <c r="AS441" s="8"/>
      <c r="AT441" s="8"/>
      <c r="AU441" s="8"/>
    </row>
    <row r="442" spans="20:47" x14ac:dyDescent="0.4">
      <c r="T442" s="5"/>
      <c r="U442" s="8"/>
      <c r="V442" s="8"/>
      <c r="X442" s="5"/>
      <c r="AB442" s="5"/>
      <c r="AC442" s="8"/>
      <c r="AD442" s="8"/>
      <c r="AE442" s="8"/>
      <c r="AF442" s="8"/>
      <c r="AI442" s="9"/>
      <c r="AN442" s="9"/>
      <c r="AP442" s="8"/>
      <c r="AQ442" s="10"/>
      <c r="AR442" s="10"/>
      <c r="AS442" s="8"/>
      <c r="AT442" s="8"/>
      <c r="AU442" s="8"/>
    </row>
    <row r="443" spans="20:47" x14ac:dyDescent="0.4">
      <c r="T443" s="5"/>
      <c r="U443" s="8"/>
      <c r="V443" s="8"/>
      <c r="X443" s="5"/>
      <c r="AB443" s="5"/>
      <c r="AC443" s="8"/>
      <c r="AD443" s="8"/>
      <c r="AE443" s="8"/>
      <c r="AF443" s="8"/>
      <c r="AI443" s="9"/>
      <c r="AN443" s="9"/>
      <c r="AP443" s="8"/>
      <c r="AQ443" s="10"/>
      <c r="AR443" s="10"/>
      <c r="AS443" s="8"/>
      <c r="AT443" s="8"/>
      <c r="AU443" s="8"/>
    </row>
    <row r="444" spans="20:47" x14ac:dyDescent="0.4">
      <c r="T444" s="5"/>
      <c r="U444" s="8"/>
      <c r="V444" s="8"/>
      <c r="X444" s="5"/>
      <c r="AB444" s="5"/>
      <c r="AC444" s="8"/>
      <c r="AD444" s="8"/>
      <c r="AE444" s="8"/>
      <c r="AF444" s="8"/>
      <c r="AI444" s="9"/>
      <c r="AN444" s="9"/>
      <c r="AP444" s="8"/>
      <c r="AQ444" s="10"/>
      <c r="AR444" s="10"/>
      <c r="AS444" s="8"/>
      <c r="AT444" s="8"/>
      <c r="AU444" s="8"/>
    </row>
    <row r="445" spans="20:47" x14ac:dyDescent="0.4">
      <c r="T445" s="5"/>
      <c r="U445" s="8"/>
      <c r="V445" s="8"/>
      <c r="X445" s="5"/>
      <c r="AB445" s="5"/>
      <c r="AC445" s="8"/>
      <c r="AD445" s="8"/>
      <c r="AE445" s="8"/>
      <c r="AF445" s="8"/>
      <c r="AI445" s="9"/>
      <c r="AN445" s="9"/>
      <c r="AP445" s="8"/>
      <c r="AQ445" s="10"/>
      <c r="AR445" s="10"/>
      <c r="AS445" s="8"/>
      <c r="AT445" s="8"/>
      <c r="AU445" s="8"/>
    </row>
    <row r="446" spans="20:47" x14ac:dyDescent="0.4">
      <c r="T446" s="5"/>
      <c r="U446" s="8"/>
      <c r="V446" s="8"/>
      <c r="X446" s="5"/>
      <c r="AB446" s="5"/>
      <c r="AC446" s="8"/>
      <c r="AD446" s="8"/>
      <c r="AE446" s="8"/>
      <c r="AF446" s="8"/>
      <c r="AI446" s="9"/>
      <c r="AN446" s="9"/>
      <c r="AP446" s="8"/>
      <c r="AQ446" s="10"/>
      <c r="AR446" s="10"/>
      <c r="AS446" s="8"/>
      <c r="AT446" s="8"/>
      <c r="AU446" s="8"/>
    </row>
    <row r="447" spans="20:47" x14ac:dyDescent="0.4">
      <c r="T447" s="5"/>
      <c r="U447" s="8"/>
      <c r="V447" s="8"/>
      <c r="X447" s="5"/>
      <c r="AB447" s="5"/>
      <c r="AC447" s="8"/>
      <c r="AD447" s="8"/>
      <c r="AE447" s="8"/>
      <c r="AF447" s="8"/>
      <c r="AI447" s="9"/>
      <c r="AN447" s="9"/>
      <c r="AP447" s="8"/>
      <c r="AQ447" s="10"/>
      <c r="AR447" s="10"/>
      <c r="AS447" s="8"/>
      <c r="AT447" s="8"/>
      <c r="AU447" s="8"/>
    </row>
    <row r="448" spans="20:47" x14ac:dyDescent="0.4">
      <c r="T448" s="5"/>
      <c r="U448" s="8"/>
      <c r="V448" s="8"/>
      <c r="X448" s="5"/>
      <c r="AB448" s="5"/>
      <c r="AC448" s="8"/>
      <c r="AD448" s="8"/>
      <c r="AE448" s="8"/>
      <c r="AF448" s="8"/>
      <c r="AI448" s="9"/>
      <c r="AN448" s="9"/>
      <c r="AP448" s="8"/>
      <c r="AQ448" s="10"/>
      <c r="AR448" s="10"/>
      <c r="AS448" s="8"/>
      <c r="AT448" s="8"/>
      <c r="AU448" s="8"/>
    </row>
    <row r="449" spans="20:47" x14ac:dyDescent="0.4">
      <c r="T449" s="5"/>
      <c r="U449" s="8"/>
      <c r="V449" s="8"/>
      <c r="X449" s="5"/>
      <c r="AB449" s="5"/>
      <c r="AC449" s="8"/>
      <c r="AD449" s="8"/>
      <c r="AE449" s="8"/>
      <c r="AF449" s="8"/>
      <c r="AI449" s="9"/>
      <c r="AN449" s="9"/>
      <c r="AP449" s="8"/>
      <c r="AQ449" s="10"/>
      <c r="AR449" s="10"/>
      <c r="AS449" s="8"/>
      <c r="AT449" s="8"/>
      <c r="AU449" s="8"/>
    </row>
    <row r="450" spans="20:47" x14ac:dyDescent="0.4">
      <c r="T450" s="5"/>
      <c r="U450" s="8"/>
      <c r="V450" s="8"/>
      <c r="X450" s="5"/>
      <c r="AB450" s="5"/>
      <c r="AC450" s="8"/>
      <c r="AD450" s="8"/>
      <c r="AE450" s="8"/>
      <c r="AF450" s="8"/>
      <c r="AI450" s="9"/>
      <c r="AN450" s="9"/>
      <c r="AP450" s="8"/>
      <c r="AQ450" s="10"/>
      <c r="AR450" s="10"/>
      <c r="AS450" s="8"/>
      <c r="AT450" s="8"/>
      <c r="AU450" s="8"/>
    </row>
    <row r="451" spans="20:47" x14ac:dyDescent="0.4">
      <c r="T451" s="5"/>
      <c r="U451" s="8"/>
      <c r="V451" s="8"/>
      <c r="X451" s="5"/>
      <c r="AB451" s="5"/>
      <c r="AC451" s="8"/>
      <c r="AD451" s="8"/>
      <c r="AE451" s="8"/>
      <c r="AF451" s="8"/>
      <c r="AI451" s="9"/>
      <c r="AN451" s="9"/>
      <c r="AP451" s="8"/>
      <c r="AQ451" s="10"/>
      <c r="AR451" s="10"/>
      <c r="AS451" s="8"/>
      <c r="AT451" s="8"/>
      <c r="AU451" s="8"/>
    </row>
    <row r="452" spans="20:47" x14ac:dyDescent="0.4">
      <c r="T452" s="5"/>
      <c r="U452" s="8"/>
      <c r="V452" s="8"/>
      <c r="X452" s="5"/>
      <c r="AB452" s="5"/>
      <c r="AC452" s="8"/>
      <c r="AD452" s="8"/>
      <c r="AE452" s="8"/>
      <c r="AF452" s="8"/>
      <c r="AI452" s="9"/>
      <c r="AN452" s="9"/>
      <c r="AP452" s="8"/>
      <c r="AQ452" s="10"/>
      <c r="AR452" s="10"/>
      <c r="AS452" s="8"/>
      <c r="AT452" s="8"/>
      <c r="AU452" s="8"/>
    </row>
    <row r="453" spans="20:47" x14ac:dyDescent="0.4">
      <c r="T453" s="5"/>
      <c r="U453" s="8"/>
      <c r="V453" s="8"/>
      <c r="X453" s="5"/>
      <c r="AB453" s="5"/>
      <c r="AC453" s="8"/>
      <c r="AD453" s="8"/>
      <c r="AE453" s="8"/>
      <c r="AF453" s="8"/>
      <c r="AI453" s="9"/>
      <c r="AN453" s="9"/>
      <c r="AP453" s="8"/>
      <c r="AQ453" s="10"/>
      <c r="AR453" s="10"/>
      <c r="AS453" s="8"/>
      <c r="AT453" s="8"/>
      <c r="AU453" s="8"/>
    </row>
    <row r="454" spans="20:47" x14ac:dyDescent="0.4">
      <c r="T454" s="5"/>
      <c r="U454" s="8"/>
      <c r="V454" s="8"/>
      <c r="X454" s="5"/>
      <c r="AB454" s="5"/>
      <c r="AC454" s="8"/>
      <c r="AD454" s="8"/>
      <c r="AE454" s="8"/>
      <c r="AF454" s="8"/>
      <c r="AI454" s="9"/>
      <c r="AN454" s="9"/>
      <c r="AP454" s="8"/>
      <c r="AQ454" s="10"/>
      <c r="AR454" s="10"/>
      <c r="AS454" s="8"/>
      <c r="AT454" s="8"/>
      <c r="AU454" s="8"/>
    </row>
    <row r="455" spans="20:47" x14ac:dyDescent="0.4">
      <c r="T455" s="5"/>
      <c r="U455" s="8"/>
      <c r="V455" s="8"/>
      <c r="X455" s="5"/>
      <c r="AB455" s="5"/>
      <c r="AC455" s="8"/>
      <c r="AD455" s="8"/>
      <c r="AE455" s="8"/>
      <c r="AF455" s="8"/>
      <c r="AI455" s="9"/>
      <c r="AN455" s="9"/>
      <c r="AP455" s="8"/>
      <c r="AQ455" s="10"/>
      <c r="AR455" s="10"/>
      <c r="AS455" s="8"/>
      <c r="AT455" s="8"/>
      <c r="AU455" s="8"/>
    </row>
    <row r="456" spans="20:47" x14ac:dyDescent="0.4">
      <c r="T456" s="5"/>
      <c r="U456" s="8"/>
      <c r="V456" s="8"/>
      <c r="X456" s="5"/>
      <c r="AB456" s="5"/>
      <c r="AC456" s="8"/>
      <c r="AD456" s="8"/>
      <c r="AE456" s="8"/>
      <c r="AF456" s="8"/>
      <c r="AI456" s="9"/>
      <c r="AN456" s="9"/>
      <c r="AP456" s="8"/>
      <c r="AQ456" s="10"/>
      <c r="AR456" s="10"/>
      <c r="AS456" s="8"/>
      <c r="AT456" s="8"/>
      <c r="AU456" s="8"/>
    </row>
    <row r="457" spans="20:47" x14ac:dyDescent="0.4">
      <c r="T457" s="5"/>
      <c r="U457" s="8"/>
      <c r="V457" s="8"/>
      <c r="X457" s="5"/>
      <c r="AB457" s="5"/>
      <c r="AC457" s="8"/>
      <c r="AD457" s="8"/>
      <c r="AE457" s="8"/>
      <c r="AF457" s="8"/>
      <c r="AI457" s="9"/>
      <c r="AN457" s="9"/>
      <c r="AP457" s="8"/>
      <c r="AQ457" s="10"/>
      <c r="AR457" s="10"/>
      <c r="AS457" s="8"/>
      <c r="AT457" s="8"/>
      <c r="AU457" s="8"/>
    </row>
    <row r="458" spans="20:47" x14ac:dyDescent="0.4">
      <c r="T458" s="5"/>
      <c r="U458" s="8"/>
      <c r="V458" s="8"/>
      <c r="X458" s="5"/>
      <c r="AB458" s="5"/>
      <c r="AC458" s="8"/>
      <c r="AD458" s="8"/>
      <c r="AE458" s="8"/>
      <c r="AF458" s="8"/>
      <c r="AI458" s="9"/>
      <c r="AN458" s="9"/>
      <c r="AP458" s="8"/>
      <c r="AQ458" s="10"/>
      <c r="AR458" s="10"/>
      <c r="AS458" s="8"/>
      <c r="AT458" s="8"/>
      <c r="AU458" s="8"/>
    </row>
    <row r="459" spans="20:47" x14ac:dyDescent="0.4">
      <c r="T459" s="5"/>
      <c r="U459" s="8"/>
      <c r="V459" s="8"/>
      <c r="X459" s="5"/>
      <c r="AB459" s="5"/>
      <c r="AC459" s="8"/>
      <c r="AD459" s="8"/>
      <c r="AE459" s="8"/>
      <c r="AF459" s="8"/>
      <c r="AI459" s="9"/>
      <c r="AN459" s="9"/>
      <c r="AP459" s="8"/>
      <c r="AQ459" s="10"/>
      <c r="AR459" s="10"/>
      <c r="AS459" s="8"/>
      <c r="AT459" s="8"/>
      <c r="AU459" s="8"/>
    </row>
    <row r="460" spans="20:47" x14ac:dyDescent="0.4">
      <c r="T460" s="5"/>
      <c r="U460" s="8"/>
      <c r="V460" s="8"/>
      <c r="X460" s="5"/>
      <c r="AB460" s="5"/>
      <c r="AC460" s="8"/>
      <c r="AD460" s="8"/>
      <c r="AE460" s="8"/>
      <c r="AF460" s="8"/>
      <c r="AI460" s="9"/>
      <c r="AN460" s="9"/>
      <c r="AP460" s="8"/>
      <c r="AQ460" s="10"/>
      <c r="AR460" s="10"/>
      <c r="AS460" s="8"/>
      <c r="AT460" s="8"/>
      <c r="AU460" s="8"/>
    </row>
    <row r="461" spans="20:47" x14ac:dyDescent="0.4">
      <c r="T461" s="5"/>
      <c r="U461" s="8"/>
      <c r="V461" s="8"/>
      <c r="X461" s="5"/>
      <c r="AB461" s="5"/>
      <c r="AC461" s="8"/>
      <c r="AD461" s="8"/>
      <c r="AE461" s="8"/>
      <c r="AF461" s="8"/>
      <c r="AI461" s="9"/>
      <c r="AN461" s="9"/>
      <c r="AP461" s="8"/>
      <c r="AQ461" s="10"/>
      <c r="AR461" s="10"/>
      <c r="AS461" s="8"/>
      <c r="AT461" s="8"/>
      <c r="AU461" s="8"/>
    </row>
    <row r="462" spans="20:47" x14ac:dyDescent="0.4">
      <c r="T462" s="5"/>
      <c r="U462" s="8"/>
      <c r="V462" s="8"/>
      <c r="X462" s="5"/>
      <c r="AB462" s="5"/>
      <c r="AC462" s="8"/>
      <c r="AD462" s="8"/>
      <c r="AE462" s="8"/>
      <c r="AF462" s="8"/>
      <c r="AI462" s="9"/>
      <c r="AN462" s="9"/>
      <c r="AP462" s="8"/>
      <c r="AQ462" s="10"/>
      <c r="AR462" s="10"/>
      <c r="AS462" s="8"/>
      <c r="AT462" s="8"/>
      <c r="AU462" s="8"/>
    </row>
    <row r="463" spans="20:47" x14ac:dyDescent="0.4">
      <c r="T463" s="5"/>
      <c r="U463" s="8"/>
      <c r="V463" s="8"/>
      <c r="X463" s="5"/>
      <c r="AB463" s="5"/>
      <c r="AC463" s="8"/>
      <c r="AD463" s="8"/>
      <c r="AE463" s="8"/>
      <c r="AF463" s="8"/>
      <c r="AI463" s="9"/>
      <c r="AN463" s="9"/>
      <c r="AP463" s="8"/>
      <c r="AQ463" s="10"/>
      <c r="AR463" s="10"/>
      <c r="AS463" s="8"/>
      <c r="AT463" s="8"/>
      <c r="AU463" s="8"/>
    </row>
    <row r="464" spans="20:47" x14ac:dyDescent="0.4">
      <c r="T464" s="5"/>
      <c r="U464" s="8"/>
      <c r="V464" s="8"/>
      <c r="X464" s="5"/>
      <c r="AB464" s="5"/>
      <c r="AC464" s="8"/>
      <c r="AD464" s="8"/>
      <c r="AE464" s="8"/>
      <c r="AF464" s="8"/>
      <c r="AI464" s="9"/>
      <c r="AN464" s="9"/>
      <c r="AP464" s="8"/>
      <c r="AQ464" s="10"/>
      <c r="AR464" s="10"/>
      <c r="AS464" s="8"/>
      <c r="AT464" s="8"/>
      <c r="AU464" s="8"/>
    </row>
    <row r="465" spans="20:47" x14ac:dyDescent="0.4">
      <c r="T465" s="5"/>
      <c r="U465" s="8"/>
      <c r="V465" s="8"/>
      <c r="X465" s="5"/>
      <c r="AB465" s="5"/>
      <c r="AC465" s="8"/>
      <c r="AD465" s="8"/>
      <c r="AE465" s="8"/>
      <c r="AF465" s="8"/>
      <c r="AI465" s="9"/>
      <c r="AN465" s="9"/>
      <c r="AP465" s="8"/>
      <c r="AQ465" s="10"/>
      <c r="AR465" s="10"/>
      <c r="AS465" s="8"/>
      <c r="AT465" s="8"/>
      <c r="AU465" s="8"/>
    </row>
    <row r="466" spans="20:47" x14ac:dyDescent="0.4">
      <c r="T466" s="5"/>
      <c r="U466" s="8"/>
      <c r="V466" s="8"/>
      <c r="X466" s="5"/>
      <c r="AB466" s="5"/>
      <c r="AC466" s="8"/>
      <c r="AD466" s="8"/>
      <c r="AE466" s="8"/>
      <c r="AF466" s="8"/>
      <c r="AI466" s="9"/>
      <c r="AN466" s="9"/>
      <c r="AP466" s="8"/>
      <c r="AQ466" s="10"/>
      <c r="AR466" s="10"/>
      <c r="AS466" s="8"/>
      <c r="AT466" s="8"/>
      <c r="AU466" s="8"/>
    </row>
    <row r="467" spans="20:47" x14ac:dyDescent="0.4">
      <c r="T467" s="5"/>
      <c r="U467" s="8"/>
      <c r="V467" s="8"/>
      <c r="X467" s="5"/>
      <c r="AB467" s="5"/>
      <c r="AC467" s="8"/>
      <c r="AD467" s="8"/>
      <c r="AE467" s="8"/>
      <c r="AF467" s="8"/>
      <c r="AI467" s="9"/>
      <c r="AN467" s="9"/>
      <c r="AP467" s="8"/>
      <c r="AQ467" s="10"/>
      <c r="AR467" s="10"/>
      <c r="AS467" s="8"/>
      <c r="AT467" s="8"/>
      <c r="AU467" s="8"/>
    </row>
    <row r="468" spans="20:47" x14ac:dyDescent="0.4">
      <c r="T468" s="5"/>
      <c r="U468" s="8"/>
      <c r="V468" s="8"/>
      <c r="X468" s="5"/>
      <c r="AB468" s="5"/>
      <c r="AC468" s="8"/>
      <c r="AD468" s="8"/>
      <c r="AE468" s="8"/>
      <c r="AF468" s="8"/>
      <c r="AI468" s="9"/>
      <c r="AN468" s="9"/>
      <c r="AP468" s="8"/>
      <c r="AQ468" s="10"/>
      <c r="AR468" s="10"/>
      <c r="AS468" s="8"/>
      <c r="AT468" s="8"/>
      <c r="AU468" s="8"/>
    </row>
    <row r="469" spans="20:47" x14ac:dyDescent="0.4">
      <c r="T469" s="5"/>
      <c r="U469" s="8"/>
      <c r="V469" s="8"/>
      <c r="X469" s="5"/>
      <c r="AB469" s="5"/>
      <c r="AC469" s="8"/>
      <c r="AD469" s="8"/>
      <c r="AE469" s="8"/>
      <c r="AF469" s="8"/>
      <c r="AI469" s="9"/>
      <c r="AN469" s="9"/>
      <c r="AP469" s="8"/>
      <c r="AQ469" s="10"/>
      <c r="AR469" s="10"/>
      <c r="AS469" s="8"/>
      <c r="AT469" s="8"/>
      <c r="AU469" s="8"/>
    </row>
    <row r="470" spans="20:47" x14ac:dyDescent="0.4">
      <c r="T470" s="5"/>
      <c r="U470" s="8"/>
      <c r="V470" s="8"/>
      <c r="X470" s="5"/>
      <c r="AB470" s="5"/>
      <c r="AC470" s="8"/>
      <c r="AD470" s="8"/>
      <c r="AE470" s="8"/>
      <c r="AF470" s="8"/>
      <c r="AI470" s="9"/>
      <c r="AN470" s="9"/>
      <c r="AP470" s="8"/>
      <c r="AQ470" s="10"/>
      <c r="AR470" s="10"/>
      <c r="AS470" s="8"/>
      <c r="AT470" s="8"/>
      <c r="AU470" s="8"/>
    </row>
  </sheetData>
  <mergeCells count="11">
    <mergeCell ref="AV2:AW2"/>
    <mergeCell ref="A1:B1"/>
    <mergeCell ref="T2:X2"/>
    <mergeCell ref="Y2:AF2"/>
    <mergeCell ref="AG2:AL2"/>
    <mergeCell ref="AM2:AU2"/>
    <mergeCell ref="AY2:BC2"/>
    <mergeCell ref="BD2:BK2"/>
    <mergeCell ref="BL2:BQ2"/>
    <mergeCell ref="BR2:BZ2"/>
    <mergeCell ref="CB2:CC2"/>
  </mergeCells>
  <phoneticPr fontId="1" type="noConversion"/>
  <pageMargins left="0.7" right="0.7" top="0.75" bottom="0.75" header="0.3" footer="0.3"/>
  <pageSetup paperSize="9" orientation="portrait" horizontalDpi="4294967293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AA7A-BE03-4EC3-A7BE-B37DE71A30B7}">
  <dimension ref="A1:L30"/>
  <sheetViews>
    <sheetView tabSelected="1" topLeftCell="B1" zoomScale="130" zoomScaleNormal="130" workbookViewId="0">
      <selection activeCell="I15" sqref="I15"/>
    </sheetView>
  </sheetViews>
  <sheetFormatPr defaultRowHeight="14.6" x14ac:dyDescent="0.4"/>
  <cols>
    <col min="1" max="1" width="7.3046875" style="21" customWidth="1"/>
    <col min="2" max="2" width="40.3046875" customWidth="1"/>
    <col min="3" max="3" width="38.84375" customWidth="1"/>
    <col min="4" max="4" width="43.84375" customWidth="1"/>
    <col min="5" max="5" width="39.3828125" customWidth="1"/>
    <col min="6" max="7" width="39.3828125" style="21" customWidth="1"/>
    <col min="8" max="8" width="23.53515625" style="21" customWidth="1"/>
    <col min="9" max="9" width="33.3828125" customWidth="1"/>
    <col min="10" max="10" width="19" customWidth="1"/>
    <col min="12" max="12" width="58.23046875" customWidth="1"/>
  </cols>
  <sheetData>
    <row r="1" spans="1:12" ht="18.45" x14ac:dyDescent="0.5">
      <c r="C1" s="129" t="s">
        <v>311</v>
      </c>
      <c r="H1" s="129" t="s">
        <v>305</v>
      </c>
    </row>
    <row r="3" spans="1:12" ht="43.75" x14ac:dyDescent="0.4">
      <c r="B3" s="122" t="s">
        <v>255</v>
      </c>
      <c r="C3" s="121" t="s">
        <v>299</v>
      </c>
      <c r="D3" s="122" t="s">
        <v>264</v>
      </c>
      <c r="E3" s="122" t="s">
        <v>285</v>
      </c>
      <c r="F3" s="57"/>
      <c r="G3" s="8"/>
      <c r="H3" s="8"/>
    </row>
    <row r="4" spans="1:12" ht="29.15" x14ac:dyDescent="0.4">
      <c r="A4" s="21">
        <v>25</v>
      </c>
      <c r="B4" s="55" t="s">
        <v>273</v>
      </c>
      <c r="C4" s="8">
        <f>IFERROR(SUM(Table8[[#All],[sed_del_kg_catch75]]),0)</f>
        <v>100.71976381825446</v>
      </c>
      <c r="D4" s="10">
        <f>AVERAGE(Table8[[#All],[Disp_offset_m62]])</f>
        <v>47.168775017992743</v>
      </c>
      <c r="E4" s="10">
        <f>AVERAGE(Table8[[#All],[Gull_offset_m63]])</f>
        <v>24.856570094799011</v>
      </c>
      <c r="F4" s="10"/>
      <c r="G4" s="127" t="s">
        <v>298</v>
      </c>
      <c r="H4" s="131" t="s">
        <v>317</v>
      </c>
      <c r="I4" s="127" t="s">
        <v>303</v>
      </c>
      <c r="K4" s="128" t="s">
        <v>304</v>
      </c>
      <c r="L4" s="128" t="s">
        <v>137</v>
      </c>
    </row>
    <row r="5" spans="1:12" ht="41.6" customHeight="1" x14ac:dyDescent="0.4">
      <c r="A5" s="55">
        <v>50</v>
      </c>
      <c r="B5" s="55" t="s">
        <v>272</v>
      </c>
      <c r="C5" s="8">
        <f>IFERROR(SUM(Table8[[#All],[sed_del_kg_catch50]]),0)</f>
        <v>54.470884799930133</v>
      </c>
      <c r="D5" s="10">
        <f>AVERAGE(Table8[[#All],[Disp_offset_m31]])</f>
        <v>51.8102406306106</v>
      </c>
      <c r="E5" s="10">
        <f>AVERAGE(Table8[[#All],[Gull_offset_m32]])</f>
        <v>35.544868072244377</v>
      </c>
      <c r="F5" s="10"/>
      <c r="G5" s="55" t="s">
        <v>273</v>
      </c>
      <c r="H5" s="124">
        <f>((C7-C4)/C7)</f>
        <v>0.45705835005867518</v>
      </c>
      <c r="I5" t="str">
        <f>IF(H5&lt;0.33,$K$7,IF(H5&gt;0.66,$K$5,$K$6))</f>
        <v>MEDIUM</v>
      </c>
      <c r="K5" s="21" t="s">
        <v>300</v>
      </c>
      <c r="L5" s="119" t="s">
        <v>314</v>
      </c>
    </row>
    <row r="6" spans="1:12" ht="31.3" customHeight="1" x14ac:dyDescent="0.4">
      <c r="A6" s="55">
        <v>75</v>
      </c>
      <c r="B6" s="55" t="s">
        <v>271</v>
      </c>
      <c r="C6" s="8">
        <f>IFERROR(SUM(Table8[[#All],[sed_del_kg_catch25]]),0)</f>
        <v>18.671171565674705</v>
      </c>
      <c r="D6" s="10">
        <f>AVERAGE(Table8[[#All],[Disp_offset_m]])</f>
        <v>56.666305338681305</v>
      </c>
      <c r="E6" s="10">
        <f>AVERAGE(Table8[[#All],[Gull_offset_m]])</f>
        <v>47.168775017992736</v>
      </c>
      <c r="F6" s="10"/>
      <c r="G6" s="55" t="s">
        <v>272</v>
      </c>
      <c r="H6" s="124">
        <f>((C7-C5)/C7)</f>
        <v>0.70636833382171005</v>
      </c>
      <c r="I6" s="21" t="str">
        <f t="shared" ref="I6:I7" si="0">IF(H6&lt;0.33,$K$7,IF(H6&gt;0.66,$K$5,$K$6))</f>
        <v>HIGH</v>
      </c>
      <c r="K6" s="21" t="s">
        <v>301</v>
      </c>
      <c r="L6" s="119" t="s">
        <v>315</v>
      </c>
    </row>
    <row r="7" spans="1:12" ht="31.75" customHeight="1" x14ac:dyDescent="0.4">
      <c r="A7" s="21">
        <v>0</v>
      </c>
      <c r="B7" s="130" t="s">
        <v>256</v>
      </c>
      <c r="C7" s="8">
        <f>IFERROR(SUM(Table1[[#All],[sed_del_kg_existing]]),0)</f>
        <v>185.50752890138222</v>
      </c>
      <c r="D7" s="10">
        <f>AVERAGE(Table1[[#All],[Disp_offset_m]])</f>
        <v>43.020234241714498</v>
      </c>
      <c r="E7" s="10">
        <f>AVERAGE(Table1[[#All],[Gull_offset_m]])</f>
        <v>16.21264686411978</v>
      </c>
      <c r="F7" s="10"/>
      <c r="G7" s="3" t="s">
        <v>271</v>
      </c>
      <c r="H7" s="124">
        <f>((C7-C6)/C7)</f>
        <v>0.89935086906580219</v>
      </c>
      <c r="I7" s="21" t="str">
        <f t="shared" si="0"/>
        <v>HIGH</v>
      </c>
      <c r="K7" s="21" t="s">
        <v>302</v>
      </c>
      <c r="L7" s="119" t="s">
        <v>316</v>
      </c>
    </row>
    <row r="8" spans="1:12" s="21" customFormat="1" x14ac:dyDescent="0.4">
      <c r="B8" s="77"/>
      <c r="C8" s="8"/>
      <c r="D8" s="10"/>
      <c r="E8" s="10"/>
      <c r="F8" s="10"/>
      <c r="G8" s="3"/>
      <c r="H8" s="125"/>
    </row>
    <row r="9" spans="1:12" x14ac:dyDescent="0.4">
      <c r="B9" s="8"/>
      <c r="C9" s="8"/>
      <c r="D9" s="8"/>
      <c r="E9" s="3"/>
      <c r="F9" s="3"/>
      <c r="G9" s="126" t="s">
        <v>297</v>
      </c>
      <c r="H9" s="125"/>
    </row>
    <row r="10" spans="1:12" ht="27.45" customHeight="1" x14ac:dyDescent="0.4">
      <c r="B10" s="121" t="s">
        <v>254</v>
      </c>
      <c r="C10" s="121" t="s">
        <v>299</v>
      </c>
      <c r="D10" s="122" t="s">
        <v>264</v>
      </c>
      <c r="E10" s="122" t="s">
        <v>296</v>
      </c>
      <c r="F10" s="57"/>
      <c r="G10" s="57" t="s">
        <v>313</v>
      </c>
      <c r="H10" s="124">
        <f>(C12-C11)/C12</f>
        <v>0</v>
      </c>
      <c r="I10" s="21" t="str">
        <f>IF(H10&lt;0.33,$K$7,IF(H10&gt;0.66,$K$5,$K$6))</f>
        <v>LOW</v>
      </c>
    </row>
    <row r="11" spans="1:12" ht="29.15" x14ac:dyDescent="0.4">
      <c r="B11" s="8" t="s">
        <v>257</v>
      </c>
      <c r="C11" s="8">
        <f>SUM(Table4[[#All],[sed_del_kg_no_drain_BP]])</f>
        <v>185.50752890138222</v>
      </c>
      <c r="D11" s="8">
        <f>AVERAGE(Table4[[#All],[Disp_offset_m]])</f>
        <v>43.020234241714498</v>
      </c>
      <c r="E11" s="8">
        <f>AVERAGE(Table4[[#All],[Gull_offset_m]])</f>
        <v>16.21264686411978</v>
      </c>
      <c r="F11" s="8"/>
      <c r="G11" s="29" t="s">
        <v>312</v>
      </c>
      <c r="H11" s="124">
        <f>(C18-C17)/C18</f>
        <v>0.37278978328592838</v>
      </c>
      <c r="I11" s="21" t="str">
        <f>IF(H11&lt;0.33,$K$7,IF(H11&gt;0.66,$K$5,$K$6))</f>
        <v>MEDIUM</v>
      </c>
    </row>
    <row r="12" spans="1:12" x14ac:dyDescent="0.4">
      <c r="B12" s="8" t="s">
        <v>286</v>
      </c>
      <c r="C12" s="8">
        <f>SUM(Table1[[#All],[sed_del_kg_existing]])</f>
        <v>185.50752890138222</v>
      </c>
      <c r="D12" s="8">
        <f>AVERAGE(Table1[[#All],[Disp_offset_m]])</f>
        <v>43.020234241714498</v>
      </c>
      <c r="E12" s="8">
        <f>AVERAGE(Table1[[#All],[Gull_offset_m]])</f>
        <v>16.21264686411978</v>
      </c>
      <c r="F12" s="8"/>
      <c r="G12" s="3"/>
      <c r="H12" s="3"/>
    </row>
    <row r="13" spans="1:12" s="21" customFormat="1" x14ac:dyDescent="0.4">
      <c r="D13" s="8"/>
      <c r="E13" s="8"/>
      <c r="F13" s="8"/>
      <c r="G13" s="3"/>
      <c r="H13" s="3"/>
    </row>
    <row r="14" spans="1:12" x14ac:dyDescent="0.4">
      <c r="B14" s="8"/>
      <c r="C14" s="8"/>
      <c r="D14" s="8"/>
      <c r="E14" s="3"/>
      <c r="F14" s="3"/>
      <c r="G14" s="3"/>
      <c r="H14" s="3"/>
    </row>
    <row r="15" spans="1:12" ht="43.75" x14ac:dyDescent="0.4">
      <c r="B15" s="121" t="s">
        <v>111</v>
      </c>
      <c r="C15" s="121" t="s">
        <v>299</v>
      </c>
      <c r="D15" s="122" t="s">
        <v>265</v>
      </c>
      <c r="E15" s="8"/>
      <c r="F15" s="8"/>
      <c r="G15" s="8"/>
      <c r="H15" s="8"/>
    </row>
    <row r="16" spans="1:12" x14ac:dyDescent="0.4">
      <c r="B16" s="8" t="s">
        <v>266</v>
      </c>
      <c r="C16" s="8">
        <f>SUM(Table2[[#All],[sed_del_kg_gullied]])</f>
        <v>417.95203399677041</v>
      </c>
      <c r="D16" s="8">
        <f>AVERAGE(Table2[[#All],[Gull_offset_m]])</f>
        <v>16.035020938862125</v>
      </c>
      <c r="E16" s="3"/>
      <c r="F16" s="3"/>
      <c r="G16" s="3"/>
      <c r="H16" s="3"/>
    </row>
    <row r="17" spans="2:9" x14ac:dyDescent="0.4">
      <c r="B17" s="8" t="s">
        <v>267</v>
      </c>
      <c r="C17" s="8">
        <f>SUM(Table2[[#All],[sed_del_kg_no_gully]])</f>
        <v>116.35221740432785</v>
      </c>
      <c r="D17" s="8">
        <f>AVERAGE(Table2[[#All],[Disp_offset_m31]])</f>
        <v>42.293338237274178</v>
      </c>
      <c r="G17" s="3"/>
      <c r="H17" s="3"/>
    </row>
    <row r="18" spans="2:9" x14ac:dyDescent="0.4">
      <c r="B18" s="8" t="s">
        <v>270</v>
      </c>
      <c r="C18" s="8">
        <f>IFERROR(SUM(Table1[[#All],[sed_del_kg_existing]]),0)</f>
        <v>185.50752890138222</v>
      </c>
      <c r="D18" s="8">
        <f>AVERAGE(Table2[[#All],[Observed_plume_waterway_offset]])</f>
        <v>42.293338237274178</v>
      </c>
      <c r="E18" s="3"/>
      <c r="F18" s="3"/>
      <c r="G18" s="3"/>
      <c r="H18" s="3"/>
    </row>
    <row r="19" spans="2:9" s="21" customFormat="1" x14ac:dyDescent="0.4">
      <c r="B19" s="8"/>
      <c r="C19" s="8"/>
      <c r="D19" s="8"/>
      <c r="E19" s="3"/>
      <c r="F19" s="3"/>
      <c r="G19" s="3"/>
      <c r="H19" s="3"/>
    </row>
    <row r="20" spans="2:9" x14ac:dyDescent="0.4">
      <c r="B20" t="s">
        <v>158</v>
      </c>
      <c r="C20" s="55">
        <f>(COUNTIF(Table1[[#All],[Bypass_factor]],"1"))/(COUNT(Table1[[#All],[Bypass_factor]]))*100</f>
        <v>0</v>
      </c>
    </row>
    <row r="21" spans="2:9" x14ac:dyDescent="0.4">
      <c r="B21" t="s">
        <v>159</v>
      </c>
      <c r="C21" s="55">
        <f>(COUNTIF(Table1[[#All],[Blockage_factor]],"1"))/(COUNT(Table1[[#All],[Blockage_factor]]))*100</f>
        <v>0</v>
      </c>
    </row>
    <row r="22" spans="2:9" x14ac:dyDescent="0.4">
      <c r="B22" t="s">
        <v>160</v>
      </c>
      <c r="C22" s="55">
        <f>(COUNTIF(Table1[[#All],[Gully_factor]],"1"))/(COUNT(Table1[[#All],[Gully_factor]]))*100</f>
        <v>33.333333333333329</v>
      </c>
    </row>
    <row r="25" spans="2:9" x14ac:dyDescent="0.4">
      <c r="B25" s="123" t="s">
        <v>289</v>
      </c>
      <c r="C25" s="123" t="s">
        <v>290</v>
      </c>
      <c r="D25" s="123" t="s">
        <v>294</v>
      </c>
    </row>
    <row r="26" spans="2:9" ht="86.15" customHeight="1" x14ac:dyDescent="0.4">
      <c r="B26" s="119" t="s">
        <v>291</v>
      </c>
      <c r="C26" s="119" t="s">
        <v>284</v>
      </c>
      <c r="D26" s="5" cm="1">
        <f t="array" ref="D26:E26">LINEST(C4:C7,A4:A7,TRUE,FALSE)</f>
        <v>-2.1870318041017871</v>
      </c>
      <c r="E26">
        <v>171.85602992512742</v>
      </c>
    </row>
    <row r="27" spans="2:9" ht="43.75" x14ac:dyDescent="0.4">
      <c r="B27" s="119" t="s">
        <v>292</v>
      </c>
      <c r="C27" s="57" t="s">
        <v>287</v>
      </c>
      <c r="D27" s="8">
        <f>C12-C11</f>
        <v>0</v>
      </c>
    </row>
    <row r="28" spans="2:9" ht="59.7" customHeight="1" x14ac:dyDescent="0.4">
      <c r="B28" s="119" t="s">
        <v>293</v>
      </c>
      <c r="C28" s="119" t="s">
        <v>288</v>
      </c>
      <c r="D28" s="38">
        <f>C18-C17</f>
        <v>69.15531149705437</v>
      </c>
      <c r="I28" s="119"/>
    </row>
    <row r="29" spans="2:9" x14ac:dyDescent="0.4">
      <c r="I29" s="119"/>
    </row>
    <row r="30" spans="2:9" x14ac:dyDescent="0.4">
      <c r="I30" s="21"/>
    </row>
  </sheetData>
  <sortState xmlns:xlrd2="http://schemas.microsoft.com/office/spreadsheetml/2017/richdata2" ref="B5:E6">
    <sortCondition descending="1" ref="B4:B6"/>
  </sortState>
  <conditionalFormatting sqref="H5:H7">
    <cfRule type="cellIs" dxfId="21" priority="18" operator="lessThan">
      <formula>0.33</formula>
    </cfRule>
    <cfRule type="cellIs" dxfId="20" priority="19" operator="between">
      <formula>0.33</formula>
      <formula>0.66</formula>
    </cfRule>
    <cfRule type="cellIs" dxfId="19" priority="20" operator="greaterThan">
      <formula>0.68</formula>
    </cfRule>
    <cfRule type="cellIs" dxfId="18" priority="21" operator="greaterThan">
      <formula>0.66</formula>
    </cfRule>
    <cfRule type="cellIs" dxfId="17" priority="22" operator="greaterThan">
      <formula>0.68</formula>
    </cfRule>
  </conditionalFormatting>
  <conditionalFormatting sqref="H10:H11">
    <cfRule type="cellIs" dxfId="16" priority="13" operator="lessThan">
      <formula>0.33</formula>
    </cfRule>
    <cfRule type="cellIs" dxfId="15" priority="14" operator="between">
      <formula>0.33</formula>
      <formula>0.66</formula>
    </cfRule>
    <cfRule type="cellIs" dxfId="14" priority="15" operator="greaterThan">
      <formula>0.68</formula>
    </cfRule>
    <cfRule type="cellIs" dxfId="13" priority="16" operator="greaterThan">
      <formula>0.66</formula>
    </cfRule>
    <cfRule type="cellIs" dxfId="12" priority="17" operator="greaterThan">
      <formula>0.68</formula>
    </cfRule>
  </conditionalFormatting>
  <conditionalFormatting sqref="I5">
    <cfRule type="cellIs" dxfId="11" priority="11" operator="equal">
      <formula>"""MEDIUM'"</formula>
    </cfRule>
    <cfRule type="cellIs" dxfId="10" priority="12" operator="equal">
      <formula>"'MEDIUM'"</formula>
    </cfRule>
  </conditionalFormatting>
  <conditionalFormatting sqref="I5:I7 I10:I11">
    <cfRule type="containsText" dxfId="9" priority="8" operator="containsText" text="LOW">
      <formula>NOT(ISERROR(SEARCH("LOW",I5)))</formula>
    </cfRule>
    <cfRule type="containsText" dxfId="8" priority="9" operator="containsText" text="HIGH">
      <formula>NOT(ISERROR(SEARCH("HIGH",I5)))</formula>
    </cfRule>
    <cfRule type="containsText" dxfId="7" priority="10" operator="containsText" text="MEDIUM">
      <formula>NOT(ISERROR(SEARCH("MEDIUM",I5)))</formula>
    </cfRule>
  </conditionalFormatting>
  <conditionalFormatting sqref="H5">
    <cfRule type="cellIs" dxfId="6" priority="7" operator="between">
      <formula>0.33</formula>
      <formula>0.66</formula>
    </cfRule>
  </conditionalFormatting>
  <conditionalFormatting sqref="H5:H11">
    <cfRule type="cellIs" dxfId="5" priority="6" operator="between">
      <formula>0.33</formula>
      <formula>0.66</formula>
    </cfRule>
  </conditionalFormatting>
  <conditionalFormatting sqref="K5">
    <cfRule type="cellIs" dxfId="4" priority="4" operator="equal">
      <formula>"""MEDIUM'"</formula>
    </cfRule>
    <cfRule type="cellIs" dxfId="3" priority="5" operator="equal">
      <formula>"'MEDIUM'"</formula>
    </cfRule>
  </conditionalFormatting>
  <conditionalFormatting sqref="K5:K7">
    <cfRule type="containsText" dxfId="2" priority="1" operator="containsText" text="LOW">
      <formula>NOT(ISERROR(SEARCH("LOW",K5)))</formula>
    </cfRule>
    <cfRule type="containsText" dxfId="1" priority="2" operator="containsText" text="HIGH">
      <formula>NOT(ISERROR(SEARCH("HIGH",K5)))</formula>
    </cfRule>
    <cfRule type="containsText" dxfId="0" priority="3" operator="containsText" text="MEDIUM">
      <formula>NOT(ISERROR(SEARCH("MEDIUM",K5)))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3C15-8F4E-4C90-9B05-5D5EB68C50B9}">
  <dimension ref="A1:AH50"/>
  <sheetViews>
    <sheetView topLeftCell="R1" zoomScale="85" zoomScaleNormal="85" workbookViewId="0">
      <selection activeCell="AA52" sqref="AA52"/>
    </sheetView>
  </sheetViews>
  <sheetFormatPr defaultRowHeight="14.6" x14ac:dyDescent="0.4"/>
  <cols>
    <col min="11" max="11" width="20.3046875" bestFit="1" customWidth="1"/>
    <col min="19" max="19" width="20.69140625" bestFit="1" customWidth="1"/>
    <col min="20" max="20" width="17.3828125" bestFit="1" customWidth="1"/>
    <col min="21" max="21" width="19" customWidth="1"/>
    <col min="22" max="23" width="17.53515625" bestFit="1" customWidth="1"/>
    <col min="24" max="24" width="21.69140625" bestFit="1" customWidth="1"/>
    <col min="25" max="25" width="24.84375" bestFit="1" customWidth="1"/>
    <col min="26" max="26" width="19.53515625" bestFit="1" customWidth="1"/>
    <col min="27" max="27" width="18.3046875" bestFit="1" customWidth="1"/>
    <col min="28" max="28" width="25.69140625" bestFit="1" customWidth="1"/>
    <col min="29" max="29" width="18.69140625" customWidth="1"/>
    <col min="30" max="31" width="18.69140625" bestFit="1" customWidth="1"/>
    <col min="32" max="33" width="25.765625" bestFit="1" customWidth="1"/>
  </cols>
  <sheetData>
    <row r="1" spans="1:34" x14ac:dyDescent="0.4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35"/>
      <c r="P1" s="21"/>
      <c r="Q1" s="4"/>
      <c r="R1" s="4"/>
    </row>
    <row r="2" spans="1:34" x14ac:dyDescent="0.4">
      <c r="A2" s="21" t="str" cm="1">
        <f t="array" ref="A2:A50">Table1[[#All],[Point_ID]]</f>
        <v>Point_ID</v>
      </c>
      <c r="B2" s="21" t="str" cm="1">
        <f t="array" ref="B2:B50">Table1[[#All],[Type]]</f>
        <v>Type</v>
      </c>
      <c r="C2" s="21" t="str" cm="1">
        <f t="array" ref="C2:C50">Table1[[#All],[Stream_dist]]</f>
        <v>Stream_dist</v>
      </c>
      <c r="D2" s="21" t="str" cm="1">
        <f t="array" ref="D2:D50">Table1[[#All],[Easting]]</f>
        <v>Easting</v>
      </c>
      <c r="E2" s="21" t="str" cm="1">
        <f t="array" ref="E2:E50">Table1[[#All],[Northing]]</f>
        <v>Northing</v>
      </c>
      <c r="F2" s="21" t="str" cm="1">
        <f t="array" ref="F2:F50">Table1[[#All],[Elevation]]</f>
        <v>Elevation</v>
      </c>
      <c r="G2" s="21" t="str" cm="1">
        <f t="array" ref="G2:G50">Table1[[#All],[Road _slope]]</f>
        <v>Road _slope</v>
      </c>
      <c r="H2" s="21" t="str" cm="1">
        <f t="array" ref="H2:H50">Table1[[#All],[Bypass_factor]]</f>
        <v>Bypass_factor</v>
      </c>
      <c r="I2" s="21" t="str" cm="1">
        <f t="array" ref="I2:I50">Table1[[#All],[Drain_spacing_no_bp]]</f>
        <v>Drain_spacing_no_bp</v>
      </c>
      <c r="J2" s="21" t="str" cm="1">
        <f t="array" ref="J2:J50">Table1[[#All],[Blockage_factor]]</f>
        <v>Blockage_factor</v>
      </c>
      <c r="K2" s="21" t="str" cm="1">
        <f t="array" ref="K2:K50">Table1[[#All],[Drain_spacing_with_bp]]</f>
        <v>Drain_spacing_with_bp</v>
      </c>
      <c r="L2" s="21" t="str" cm="1">
        <f t="array" ref="L2:L50">Table1[[#All],[Road_width]]</f>
        <v>Road_width</v>
      </c>
      <c r="M2" s="21" t="str" cm="1">
        <f t="array" ref="M2:M50">Table1[[#All],[Crowning]]</f>
        <v>Crowning</v>
      </c>
      <c r="N2" s="21" t="str" cm="1">
        <f t="array" ref="N2:N50">Table1[[#All],[Gully_factor]]</f>
        <v>Gully_factor</v>
      </c>
      <c r="O2" s="21" t="str" cm="1">
        <f t="array" ref="O2:O50">Table1[[#All],[Drain_slope]]</f>
        <v>Drain_slope</v>
      </c>
      <c r="P2" s="21" t="str" cm="1">
        <f t="array" ref="P2:P50">Table1[[#All],[ F_ax_pw]]</f>
        <v xml:space="preserve"> F_ax_pw</v>
      </c>
      <c r="Q2" s="21" t="str" cm="1">
        <f t="array" ref="Q2:Q50">Table1[[#All],[rainan_mean]]</f>
        <v>rainan_mean</v>
      </c>
      <c r="R2" s="21" t="str" cm="1">
        <f t="array" ref="R2:R50">Table1[[#All],[30_10aep_mean]]</f>
        <v>30_10aep_mean</v>
      </c>
      <c r="S2" s="21" t="str" cm="1">
        <f t="array" ref="S2:S50">Table1[[#All],[Drain_
catchment_area]]</f>
        <v>Drain_
catchment_area</v>
      </c>
      <c r="T2" t="str" cm="1">
        <f t="array" ref="T2:T50">Table1[[#All],[sed_del_kg_existing]]</f>
        <v>sed_del_kg_existing</v>
      </c>
      <c r="U2" t="str" cm="1">
        <f t="array" ref="U2:U50">Table8[[#All],[sed_del_kg_catch25]]</f>
        <v>sed_del_kg_catch25</v>
      </c>
      <c r="V2" t="str" cm="1">
        <f t="array" ref="V2:V50">Table8[[#All],[sed_del_kg_catch50]]</f>
        <v>sed_del_kg_catch50</v>
      </c>
      <c r="W2" t="str" cm="1">
        <f t="array" ref="W2:W50">Table8[[#All],[sed_del_kg_catch75]]</f>
        <v>sed_del_kg_catch75</v>
      </c>
      <c r="X2" t="str" cm="1">
        <f t="array" ref="X2:X50">Table4[[#All],[sed_del_kg_no_drain_BP]]</f>
        <v>sed_del_kg_no_drain_BP</v>
      </c>
      <c r="Y2" t="str" cm="1">
        <f t="array" ref="Y2:Y50">Table4[[#All],[Sed_del_diff_kg_due_bypass]]</f>
        <v>Sed_del_diff_kg_due_bypass</v>
      </c>
      <c r="Z2" t="str" cm="1">
        <f t="array" ref="Z2:Z49">Table2[[#All],[sed_del_kg_gullied]]</f>
        <v>sed_del_kg_gullied</v>
      </c>
      <c r="AA2" t="str" cm="1">
        <f t="array" ref="AA2:AA49">Table2[[#All],[sed_del_kg_no_gully]]</f>
        <v>sed_del_kg_no_gully</v>
      </c>
      <c r="AB2" t="str" cm="1">
        <f t="array" ref="AB2:AB49">Table2[[#All],[Diff_sed_del_kg_due_gullying]]</f>
        <v>Diff_sed_del_kg_due_gullying</v>
      </c>
      <c r="AC2" t="s">
        <v>306</v>
      </c>
      <c r="AD2" s="21" t="s">
        <v>307</v>
      </c>
      <c r="AE2" s="21" t="s">
        <v>308</v>
      </c>
      <c r="AF2" s="21" t="s">
        <v>310</v>
      </c>
      <c r="AG2" s="21" t="s">
        <v>309</v>
      </c>
      <c r="AH2" s="21"/>
    </row>
    <row r="3" spans="1:34" x14ac:dyDescent="0.4">
      <c r="A3" s="21">
        <v>100</v>
      </c>
      <c r="B3" s="21" t="str">
        <v>Drain</v>
      </c>
      <c r="C3" s="21">
        <v>112.282453</v>
      </c>
      <c r="D3" s="21">
        <v>620213.9</v>
      </c>
      <c r="E3" s="21">
        <v>6082124.7000000002</v>
      </c>
      <c r="F3" s="21">
        <v>828.2</v>
      </c>
      <c r="G3" s="21">
        <v>14</v>
      </c>
      <c r="H3" s="21">
        <v>0</v>
      </c>
      <c r="I3" s="21">
        <v>57.7</v>
      </c>
      <c r="J3" s="21">
        <v>0</v>
      </c>
      <c r="K3" s="21">
        <v>100</v>
      </c>
      <c r="L3" s="21">
        <v>3.5</v>
      </c>
      <c r="M3" s="21">
        <v>100</v>
      </c>
      <c r="N3" s="21">
        <v>0</v>
      </c>
      <c r="O3" s="35">
        <v>5</v>
      </c>
      <c r="P3" s="21">
        <v>90</v>
      </c>
      <c r="Q3" s="4">
        <v>781.16</v>
      </c>
      <c r="R3" s="4">
        <v>30.899999619999999</v>
      </c>
      <c r="S3">
        <v>201.95000000000002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f>IFERROR((($T3-W3)/$T3)*100,0)</f>
        <v>0</v>
      </c>
      <c r="AD3" s="21">
        <f>IFERROR((($T3-V3)/$T3)*100,0)</f>
        <v>0</v>
      </c>
      <c r="AE3" s="21">
        <f>IFERROR((($T3-U3)/$T3)*100,0)</f>
        <v>0</v>
      </c>
      <c r="AF3" s="21">
        <f>IFERROR((($T3-X3)/$T3)*100,0)</f>
        <v>0</v>
      </c>
      <c r="AG3" s="21">
        <f>IF(H3=1,IFERROR((ABS(($T3-Z3))/$T3)*100,0),0)</f>
        <v>0</v>
      </c>
    </row>
    <row r="4" spans="1:34" x14ac:dyDescent="0.4">
      <c r="A4" s="21">
        <v>91</v>
      </c>
      <c r="B4" s="21" t="str">
        <v>Drain</v>
      </c>
      <c r="C4" s="21">
        <v>61.332389999999997</v>
      </c>
      <c r="D4" s="21">
        <v>619988.69999999995</v>
      </c>
      <c r="E4" s="21">
        <v>6082088.5</v>
      </c>
      <c r="F4" s="21">
        <v>828.3</v>
      </c>
      <c r="G4" s="21">
        <v>2</v>
      </c>
      <c r="H4" s="21">
        <v>0</v>
      </c>
      <c r="I4" s="21">
        <v>19.29</v>
      </c>
      <c r="J4" s="21">
        <v>0</v>
      </c>
      <c r="K4" s="21">
        <v>100</v>
      </c>
      <c r="L4" s="21">
        <v>3.1</v>
      </c>
      <c r="M4" s="21">
        <v>100</v>
      </c>
      <c r="N4" s="21">
        <v>1</v>
      </c>
      <c r="O4" s="35">
        <v>13</v>
      </c>
      <c r="P4" s="21">
        <v>90</v>
      </c>
      <c r="Q4" s="4">
        <v>781.16</v>
      </c>
      <c r="R4" s="4">
        <v>30.899999619999999</v>
      </c>
      <c r="S4">
        <v>59.798999999999999</v>
      </c>
      <c r="T4">
        <v>0</v>
      </c>
      <c r="U4">
        <v>0</v>
      </c>
      <c r="V4">
        <v>0</v>
      </c>
      <c r="W4">
        <v>0</v>
      </c>
      <c r="X4">
        <v>0</v>
      </c>
      <c r="Y4">
        <v>23.774978787385564</v>
      </c>
      <c r="Z4">
        <v>0</v>
      </c>
      <c r="AA4">
        <v>0</v>
      </c>
      <c r="AB4">
        <v>0</v>
      </c>
      <c r="AC4" s="21">
        <f t="shared" ref="AC4:AC50" si="0">IFERROR((($T4-W4)/$T4)*100,0)</f>
        <v>0</v>
      </c>
      <c r="AD4" s="21">
        <f t="shared" ref="AD4:AD50" si="1">IFERROR((($T4-V4)/$T4)*100,0)</f>
        <v>0</v>
      </c>
      <c r="AE4" s="21">
        <f t="shared" ref="AE4:AE50" si="2">IFERROR((($T4-U4)/$T4)*100,0)</f>
        <v>0</v>
      </c>
      <c r="AF4" s="21">
        <f t="shared" ref="AF4:AF50" si="3">IFERROR((($T4-X4)/$T4)*100,0)</f>
        <v>0</v>
      </c>
      <c r="AG4" s="21">
        <f t="shared" ref="AG4:AG50" si="4">IF(H4=1,IFERROR((ABS(($T4-Z4))/$T4)*100,0),0)</f>
        <v>0</v>
      </c>
    </row>
    <row r="5" spans="1:34" x14ac:dyDescent="0.4">
      <c r="A5" s="21">
        <v>98</v>
      </c>
      <c r="B5" s="21" t="str">
        <v>Drain</v>
      </c>
      <c r="C5" s="21">
        <v>103.495987</v>
      </c>
      <c r="D5" s="21">
        <v>620124.19999999995</v>
      </c>
      <c r="E5" s="21">
        <v>6082077.4000000004</v>
      </c>
      <c r="F5" s="21">
        <v>830.6</v>
      </c>
      <c r="G5" s="21">
        <v>8</v>
      </c>
      <c r="H5" s="21">
        <v>0</v>
      </c>
      <c r="I5" s="21">
        <v>48.57</v>
      </c>
      <c r="J5" s="21">
        <v>0</v>
      </c>
      <c r="K5" s="21">
        <v>100</v>
      </c>
      <c r="L5" s="21">
        <v>3.8</v>
      </c>
      <c r="M5" s="21">
        <v>100</v>
      </c>
      <c r="N5" s="21">
        <v>0</v>
      </c>
      <c r="O5" s="35">
        <v>7</v>
      </c>
      <c r="P5" s="21">
        <v>90</v>
      </c>
      <c r="Q5" s="4">
        <v>781.16</v>
      </c>
      <c r="R5" s="4">
        <v>30.899999619999999</v>
      </c>
      <c r="S5">
        <v>184.566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 s="21">
        <f t="shared" si="0"/>
        <v>0</v>
      </c>
      <c r="AD5" s="21">
        <f t="shared" si="1"/>
        <v>0</v>
      </c>
      <c r="AE5" s="21">
        <f t="shared" si="2"/>
        <v>0</v>
      </c>
      <c r="AF5" s="21">
        <f t="shared" si="3"/>
        <v>0</v>
      </c>
      <c r="AG5" s="21">
        <f t="shared" si="4"/>
        <v>0</v>
      </c>
    </row>
    <row r="6" spans="1:34" x14ac:dyDescent="0.4">
      <c r="A6" s="21">
        <v>56</v>
      </c>
      <c r="B6" s="21" t="str">
        <v>Drain</v>
      </c>
      <c r="C6" s="21">
        <v>29.886575000000001</v>
      </c>
      <c r="D6" s="21">
        <v>619330</v>
      </c>
      <c r="E6" s="21">
        <v>6081096.7999999998</v>
      </c>
      <c r="F6" s="21">
        <v>720.4</v>
      </c>
      <c r="G6" s="21">
        <v>11</v>
      </c>
      <c r="H6" s="21">
        <v>0</v>
      </c>
      <c r="I6" s="21">
        <v>31.4</v>
      </c>
      <c r="J6" s="21">
        <v>0</v>
      </c>
      <c r="K6" s="21">
        <v>100</v>
      </c>
      <c r="L6" s="21">
        <v>3.2</v>
      </c>
      <c r="M6" s="21">
        <v>100</v>
      </c>
      <c r="N6" s="21">
        <v>1</v>
      </c>
      <c r="O6" s="35">
        <v>11</v>
      </c>
      <c r="P6" s="21">
        <v>90</v>
      </c>
      <c r="Q6" s="4">
        <v>781.16</v>
      </c>
      <c r="R6" s="4">
        <v>30.899999619999999</v>
      </c>
      <c r="S6">
        <v>100.48</v>
      </c>
      <c r="T6">
        <v>3.7156220023488666</v>
      </c>
      <c r="U6">
        <v>0</v>
      </c>
      <c r="V6">
        <v>0</v>
      </c>
      <c r="W6">
        <v>0.46341475669015458</v>
      </c>
      <c r="X6">
        <v>3.7156220023488666</v>
      </c>
      <c r="Y6">
        <v>60.213741795073524</v>
      </c>
      <c r="Z6">
        <v>3.7156220023488666</v>
      </c>
      <c r="AA6">
        <v>0</v>
      </c>
      <c r="AB6">
        <v>3.7156220023488666</v>
      </c>
      <c r="AC6" s="21">
        <f t="shared" si="0"/>
        <v>87.527935931125327</v>
      </c>
      <c r="AD6" s="21">
        <f t="shared" si="1"/>
        <v>100</v>
      </c>
      <c r="AE6" s="21">
        <f t="shared" si="2"/>
        <v>100</v>
      </c>
      <c r="AF6" s="21">
        <f t="shared" si="3"/>
        <v>0</v>
      </c>
      <c r="AG6" s="21">
        <f t="shared" si="4"/>
        <v>0</v>
      </c>
    </row>
    <row r="7" spans="1:34" x14ac:dyDescent="0.4">
      <c r="A7" s="21">
        <v>59</v>
      </c>
      <c r="B7" s="21" t="str">
        <v>Drain</v>
      </c>
      <c r="C7" s="21">
        <v>117.807294</v>
      </c>
      <c r="D7" s="21">
        <v>619441.4</v>
      </c>
      <c r="E7" s="21">
        <v>6081181.7999999998</v>
      </c>
      <c r="F7" s="21">
        <v>730.2</v>
      </c>
      <c r="G7" s="21">
        <v>12</v>
      </c>
      <c r="H7" s="21">
        <v>0</v>
      </c>
      <c r="I7" s="21">
        <v>77.89</v>
      </c>
      <c r="J7" s="21">
        <v>0</v>
      </c>
      <c r="K7" s="21">
        <v>100</v>
      </c>
      <c r="L7" s="21">
        <v>2.8</v>
      </c>
      <c r="M7" s="21">
        <v>100</v>
      </c>
      <c r="N7" s="21">
        <v>0</v>
      </c>
      <c r="O7" s="35">
        <v>12</v>
      </c>
      <c r="P7" s="21">
        <v>90</v>
      </c>
      <c r="Q7" s="4">
        <v>781.16</v>
      </c>
      <c r="R7" s="4">
        <v>30.899999619999999</v>
      </c>
      <c r="S7">
        <v>218.09199999999998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 s="21">
        <f t="shared" si="0"/>
        <v>0</v>
      </c>
      <c r="AD7" s="21">
        <f t="shared" si="1"/>
        <v>0</v>
      </c>
      <c r="AE7" s="21">
        <f t="shared" si="2"/>
        <v>0</v>
      </c>
      <c r="AF7" s="21">
        <f t="shared" si="3"/>
        <v>0</v>
      </c>
      <c r="AG7" s="21">
        <f t="shared" si="4"/>
        <v>0</v>
      </c>
    </row>
    <row r="8" spans="1:34" x14ac:dyDescent="0.4">
      <c r="A8" s="21">
        <v>68</v>
      </c>
      <c r="B8" s="21" t="str">
        <v>Drain</v>
      </c>
      <c r="C8" s="21">
        <v>2.5927039999999999</v>
      </c>
      <c r="D8" s="21">
        <v>619688.80000000005</v>
      </c>
      <c r="E8" s="21">
        <v>6081429.2999999998</v>
      </c>
      <c r="F8" s="21">
        <v>748.3</v>
      </c>
      <c r="G8" s="21">
        <v>11</v>
      </c>
      <c r="H8" s="21">
        <v>0</v>
      </c>
      <c r="I8" s="21">
        <v>77.97</v>
      </c>
      <c r="J8" s="21">
        <v>0</v>
      </c>
      <c r="K8" s="21">
        <v>100</v>
      </c>
      <c r="L8" s="21">
        <v>2.7</v>
      </c>
      <c r="M8" s="21">
        <v>100</v>
      </c>
      <c r="N8" s="21">
        <v>1</v>
      </c>
      <c r="O8" s="35">
        <v>8</v>
      </c>
      <c r="P8" s="21">
        <v>90</v>
      </c>
      <c r="Q8" s="4">
        <v>781.16</v>
      </c>
      <c r="R8" s="4">
        <v>30.899999619999999</v>
      </c>
      <c r="S8">
        <v>210.51900000000001</v>
      </c>
      <c r="T8">
        <v>70.241869761658634</v>
      </c>
      <c r="U8">
        <v>13.981312338961008</v>
      </c>
      <c r="V8">
        <v>32.582498282417831</v>
      </c>
      <c r="W8">
        <v>51.385470119719649</v>
      </c>
      <c r="X8">
        <v>70.241869761658634</v>
      </c>
      <c r="Y8">
        <v>21.336760339624632</v>
      </c>
      <c r="Z8">
        <v>70.241869761658634</v>
      </c>
      <c r="AA8">
        <v>60.398617168127927</v>
      </c>
      <c r="AB8">
        <v>9.8432525935307069</v>
      </c>
      <c r="AC8" s="21">
        <f t="shared" si="0"/>
        <v>26.844956869630067</v>
      </c>
      <c r="AD8" s="21">
        <f t="shared" si="1"/>
        <v>53.613851121880415</v>
      </c>
      <c r="AE8" s="21">
        <f t="shared" si="2"/>
        <v>80.095472420649216</v>
      </c>
      <c r="AF8" s="21">
        <f t="shared" si="3"/>
        <v>0</v>
      </c>
      <c r="AG8" s="21">
        <f t="shared" si="4"/>
        <v>0</v>
      </c>
    </row>
    <row r="9" spans="1:34" x14ac:dyDescent="0.4">
      <c r="A9" s="21">
        <v>120</v>
      </c>
      <c r="B9" s="21" t="str">
        <v>Drain</v>
      </c>
      <c r="C9" s="21">
        <v>34.616855000000001</v>
      </c>
      <c r="D9" s="21">
        <v>620463.1</v>
      </c>
      <c r="E9" s="21">
        <v>6082664.5</v>
      </c>
      <c r="F9" s="21">
        <v>748.3</v>
      </c>
      <c r="G9" s="21">
        <v>10</v>
      </c>
      <c r="H9" s="21">
        <v>0</v>
      </c>
      <c r="I9" s="21">
        <v>22</v>
      </c>
      <c r="J9" s="21">
        <v>0</v>
      </c>
      <c r="K9" s="21">
        <v>100</v>
      </c>
      <c r="L9" s="21">
        <v>3.5</v>
      </c>
      <c r="M9" s="21">
        <v>100</v>
      </c>
      <c r="N9" s="21">
        <v>0</v>
      </c>
      <c r="O9" s="35">
        <v>12</v>
      </c>
      <c r="P9" s="21">
        <v>90</v>
      </c>
      <c r="Q9" s="4">
        <v>781.16</v>
      </c>
      <c r="R9" s="4">
        <v>30.899999619999999</v>
      </c>
      <c r="S9">
        <v>77</v>
      </c>
      <c r="T9">
        <v>0</v>
      </c>
      <c r="U9">
        <v>0</v>
      </c>
      <c r="V9">
        <v>0</v>
      </c>
      <c r="W9">
        <v>0</v>
      </c>
      <c r="X9">
        <v>0</v>
      </c>
      <c r="Y9">
        <v>12.775066219469293</v>
      </c>
      <c r="Z9">
        <v>0</v>
      </c>
      <c r="AA9">
        <v>0</v>
      </c>
      <c r="AB9">
        <v>0</v>
      </c>
      <c r="AC9" s="21">
        <f t="shared" si="0"/>
        <v>0</v>
      </c>
      <c r="AD9" s="21">
        <f t="shared" si="1"/>
        <v>0</v>
      </c>
      <c r="AE9" s="21">
        <f t="shared" si="2"/>
        <v>0</v>
      </c>
      <c r="AF9" s="21">
        <f t="shared" si="3"/>
        <v>0</v>
      </c>
      <c r="AG9" s="21">
        <f t="shared" si="4"/>
        <v>0</v>
      </c>
    </row>
    <row r="10" spans="1:34" x14ac:dyDescent="0.4">
      <c r="A10" s="21">
        <v>122</v>
      </c>
      <c r="B10" s="21" t="str">
        <v>Drain</v>
      </c>
      <c r="C10" s="21">
        <v>48.858932000000003</v>
      </c>
      <c r="D10" s="21">
        <v>620502.19999999995</v>
      </c>
      <c r="E10" s="21">
        <v>6082737.7000000002</v>
      </c>
      <c r="F10" s="21">
        <v>748.7</v>
      </c>
      <c r="G10" s="21">
        <v>11</v>
      </c>
      <c r="H10" s="21">
        <v>0</v>
      </c>
      <c r="I10" s="21">
        <v>33.700000000000003</v>
      </c>
      <c r="J10" s="21">
        <v>0</v>
      </c>
      <c r="K10" s="21">
        <v>100</v>
      </c>
      <c r="L10" s="21">
        <v>3.2</v>
      </c>
      <c r="M10" s="21">
        <v>100</v>
      </c>
      <c r="N10" s="21">
        <v>0</v>
      </c>
      <c r="O10" s="35">
        <v>6</v>
      </c>
      <c r="P10" s="21">
        <v>90</v>
      </c>
      <c r="Q10" s="4">
        <v>781.16</v>
      </c>
      <c r="R10" s="4">
        <v>30.899999619999999</v>
      </c>
      <c r="S10">
        <v>107.84000000000002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 s="21">
        <f t="shared" si="0"/>
        <v>0</v>
      </c>
      <c r="AD10" s="21">
        <f t="shared" si="1"/>
        <v>0</v>
      </c>
      <c r="AE10" s="21">
        <f t="shared" si="2"/>
        <v>0</v>
      </c>
      <c r="AF10" s="21">
        <f t="shared" si="3"/>
        <v>0</v>
      </c>
      <c r="AG10" s="21">
        <f t="shared" si="4"/>
        <v>0</v>
      </c>
    </row>
    <row r="11" spans="1:34" x14ac:dyDescent="0.4">
      <c r="A11" s="21">
        <v>69</v>
      </c>
      <c r="B11" s="21" t="str">
        <v>Drain</v>
      </c>
      <c r="C11" s="21">
        <v>49.795875000000002</v>
      </c>
      <c r="D11" s="21">
        <v>619712.5</v>
      </c>
      <c r="E11" s="21">
        <v>6081464.2999999998</v>
      </c>
      <c r="F11" s="21">
        <v>752.1</v>
      </c>
      <c r="G11" s="21">
        <v>11</v>
      </c>
      <c r="H11" s="21">
        <v>0</v>
      </c>
      <c r="I11" s="21">
        <v>34.200000000000003</v>
      </c>
      <c r="J11" s="21">
        <v>0</v>
      </c>
      <c r="K11" s="21">
        <v>100</v>
      </c>
      <c r="L11" s="21">
        <v>2.5</v>
      </c>
      <c r="M11" s="21">
        <v>100</v>
      </c>
      <c r="N11" s="21">
        <v>0</v>
      </c>
      <c r="O11" s="35">
        <v>7</v>
      </c>
      <c r="P11" s="21">
        <v>90</v>
      </c>
      <c r="Q11" s="4">
        <v>781.16</v>
      </c>
      <c r="R11" s="4">
        <v>30.899999619999999</v>
      </c>
      <c r="S11">
        <v>85.5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 s="21">
        <f t="shared" si="0"/>
        <v>0</v>
      </c>
      <c r="AD11" s="21">
        <f t="shared" si="1"/>
        <v>0</v>
      </c>
      <c r="AE11" s="21">
        <f t="shared" si="2"/>
        <v>0</v>
      </c>
      <c r="AF11" s="21">
        <f t="shared" si="3"/>
        <v>0</v>
      </c>
      <c r="AG11" s="21">
        <f t="shared" si="4"/>
        <v>0</v>
      </c>
    </row>
    <row r="12" spans="1:34" x14ac:dyDescent="0.4">
      <c r="A12" s="21">
        <v>119</v>
      </c>
      <c r="B12" s="21" t="str">
        <v>Drain</v>
      </c>
      <c r="C12" s="21">
        <v>55.453921000000001</v>
      </c>
      <c r="D12" s="21">
        <v>620468.80000000005</v>
      </c>
      <c r="E12" s="21">
        <v>6082644.0999999996</v>
      </c>
      <c r="F12" s="21">
        <v>752.5</v>
      </c>
      <c r="G12" s="21">
        <v>17</v>
      </c>
      <c r="H12" s="21">
        <v>0</v>
      </c>
      <c r="I12" s="21">
        <v>41</v>
      </c>
      <c r="J12" s="21">
        <v>0</v>
      </c>
      <c r="K12" s="21">
        <v>100</v>
      </c>
      <c r="L12" s="21">
        <v>3</v>
      </c>
      <c r="M12" s="21">
        <v>100</v>
      </c>
      <c r="N12" s="21">
        <v>1</v>
      </c>
      <c r="O12" s="35">
        <v>10</v>
      </c>
      <c r="P12" s="21">
        <v>90</v>
      </c>
      <c r="Q12" s="4">
        <v>781.16</v>
      </c>
      <c r="R12" s="4">
        <v>30.899999619999999</v>
      </c>
      <c r="S12">
        <v>123</v>
      </c>
      <c r="T12">
        <v>0</v>
      </c>
      <c r="U12">
        <v>0</v>
      </c>
      <c r="V12">
        <v>0</v>
      </c>
      <c r="W12">
        <v>0</v>
      </c>
      <c r="X12">
        <v>0</v>
      </c>
      <c r="Y12">
        <v>34.928975426175377</v>
      </c>
      <c r="Z12">
        <v>0</v>
      </c>
      <c r="AA12">
        <v>0</v>
      </c>
      <c r="AB12">
        <v>0</v>
      </c>
      <c r="AC12" s="21">
        <f t="shared" si="0"/>
        <v>0</v>
      </c>
      <c r="AD12" s="21">
        <f t="shared" si="1"/>
        <v>0</v>
      </c>
      <c r="AE12" s="21">
        <f t="shared" si="2"/>
        <v>0</v>
      </c>
      <c r="AF12" s="21">
        <f t="shared" si="3"/>
        <v>0</v>
      </c>
      <c r="AG12" s="21">
        <f t="shared" si="4"/>
        <v>0</v>
      </c>
    </row>
    <row r="13" spans="1:34" x14ac:dyDescent="0.4">
      <c r="A13" s="21">
        <v>72</v>
      </c>
      <c r="B13" s="21" t="str">
        <v>Drain</v>
      </c>
      <c r="C13" s="21">
        <v>52.988652999999999</v>
      </c>
      <c r="D13" s="21">
        <v>619792.9</v>
      </c>
      <c r="E13" s="21">
        <v>6081514</v>
      </c>
      <c r="F13" s="21">
        <v>753.5</v>
      </c>
      <c r="G13" s="21">
        <v>13</v>
      </c>
      <c r="H13" s="21">
        <v>0</v>
      </c>
      <c r="I13" s="21">
        <v>52</v>
      </c>
      <c r="J13" s="21">
        <v>0</v>
      </c>
      <c r="K13" s="21">
        <v>100</v>
      </c>
      <c r="L13" s="21">
        <v>2.8</v>
      </c>
      <c r="M13" s="21">
        <v>100</v>
      </c>
      <c r="N13" s="21">
        <v>0</v>
      </c>
      <c r="O13" s="35">
        <v>8</v>
      </c>
      <c r="P13" s="21">
        <v>90</v>
      </c>
      <c r="Q13" s="4">
        <v>781.16</v>
      </c>
      <c r="R13" s="4">
        <v>30.899999619999999</v>
      </c>
      <c r="S13">
        <v>145.6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2.1533204104424777</v>
      </c>
      <c r="AA13">
        <v>0</v>
      </c>
      <c r="AB13">
        <v>2.1533204104424777</v>
      </c>
      <c r="AC13" s="21">
        <f t="shared" si="0"/>
        <v>0</v>
      </c>
      <c r="AD13" s="21">
        <f t="shared" si="1"/>
        <v>0</v>
      </c>
      <c r="AE13" s="21">
        <f t="shared" si="2"/>
        <v>0</v>
      </c>
      <c r="AF13" s="21">
        <f t="shared" si="3"/>
        <v>0</v>
      </c>
      <c r="AG13" s="21">
        <f t="shared" si="4"/>
        <v>0</v>
      </c>
    </row>
    <row r="14" spans="1:34" x14ac:dyDescent="0.4">
      <c r="A14" s="21">
        <v>123</v>
      </c>
      <c r="B14" s="21" t="str">
        <v>Drain</v>
      </c>
      <c r="C14" s="21">
        <v>63.482765999999998</v>
      </c>
      <c r="D14" s="21">
        <v>620528.4</v>
      </c>
      <c r="E14" s="21">
        <v>6082716.4000000004</v>
      </c>
      <c r="F14" s="21">
        <v>754.3</v>
      </c>
      <c r="G14" s="21">
        <v>13</v>
      </c>
      <c r="H14" s="21">
        <v>0</v>
      </c>
      <c r="I14" s="21">
        <v>38.299999999999997</v>
      </c>
      <c r="J14" s="21">
        <v>0</v>
      </c>
      <c r="K14" s="21">
        <v>100</v>
      </c>
      <c r="L14" s="21">
        <v>3.2</v>
      </c>
      <c r="M14" s="21">
        <v>100</v>
      </c>
      <c r="N14" s="21">
        <v>0</v>
      </c>
      <c r="O14" s="35">
        <v>12</v>
      </c>
      <c r="P14" s="21">
        <v>90</v>
      </c>
      <c r="Q14" s="4">
        <v>781.16</v>
      </c>
      <c r="R14" s="4">
        <v>30.899999619999999</v>
      </c>
      <c r="S14">
        <v>122.56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 s="21">
        <f t="shared" si="0"/>
        <v>0</v>
      </c>
      <c r="AD14" s="21">
        <f t="shared" si="1"/>
        <v>0</v>
      </c>
      <c r="AE14" s="21">
        <f t="shared" si="2"/>
        <v>0</v>
      </c>
      <c r="AF14" s="21">
        <f t="shared" si="3"/>
        <v>0</v>
      </c>
      <c r="AG14" s="21">
        <f t="shared" si="4"/>
        <v>0</v>
      </c>
    </row>
    <row r="15" spans="1:34" x14ac:dyDescent="0.4">
      <c r="A15" s="21">
        <v>70</v>
      </c>
      <c r="B15" s="21" t="str">
        <v>Drain</v>
      </c>
      <c r="C15" s="21">
        <v>69.882838000000007</v>
      </c>
      <c r="D15" s="21">
        <v>619730.69999999995</v>
      </c>
      <c r="E15" s="21">
        <v>6081493.4000000004</v>
      </c>
      <c r="F15" s="21">
        <v>755</v>
      </c>
      <c r="G15" s="21">
        <v>7</v>
      </c>
      <c r="H15" s="21">
        <v>0</v>
      </c>
      <c r="I15" s="21">
        <v>22.29</v>
      </c>
      <c r="J15" s="21">
        <v>0</v>
      </c>
      <c r="K15" s="21">
        <v>100</v>
      </c>
      <c r="L15" s="21">
        <v>2.2999999999999998</v>
      </c>
      <c r="M15" s="21">
        <v>100</v>
      </c>
      <c r="N15" s="21">
        <v>1</v>
      </c>
      <c r="O15" s="35">
        <v>12</v>
      </c>
      <c r="P15" s="21">
        <v>90</v>
      </c>
      <c r="Q15" s="4">
        <v>781.16</v>
      </c>
      <c r="R15" s="4">
        <v>30.899999619999999</v>
      </c>
      <c r="S15">
        <v>51.266999999999996</v>
      </c>
      <c r="T15">
        <v>0</v>
      </c>
      <c r="U15">
        <v>0</v>
      </c>
      <c r="V15">
        <v>0</v>
      </c>
      <c r="W15">
        <v>0</v>
      </c>
      <c r="X15">
        <v>0</v>
      </c>
      <c r="Y15">
        <v>7.2387588461655783</v>
      </c>
      <c r="Z15">
        <v>0</v>
      </c>
      <c r="AA15">
        <v>0</v>
      </c>
      <c r="AB15">
        <v>0</v>
      </c>
      <c r="AC15" s="21">
        <f t="shared" si="0"/>
        <v>0</v>
      </c>
      <c r="AD15" s="21">
        <f t="shared" si="1"/>
        <v>0</v>
      </c>
      <c r="AE15" s="21">
        <f t="shared" si="2"/>
        <v>0</v>
      </c>
      <c r="AF15" s="21">
        <f t="shared" si="3"/>
        <v>0</v>
      </c>
      <c r="AG15" s="21">
        <f t="shared" si="4"/>
        <v>0</v>
      </c>
    </row>
    <row r="16" spans="1:34" x14ac:dyDescent="0.4">
      <c r="A16" s="21">
        <v>124</v>
      </c>
      <c r="B16" s="21" t="str">
        <v>Drain</v>
      </c>
      <c r="C16" s="21">
        <v>41.167093000000001</v>
      </c>
      <c r="D16" s="21">
        <v>620561.4</v>
      </c>
      <c r="E16" s="21">
        <v>6082696.7999999998</v>
      </c>
      <c r="F16" s="21">
        <v>760.8</v>
      </c>
      <c r="G16" s="21">
        <v>17</v>
      </c>
      <c r="H16" s="21">
        <v>0</v>
      </c>
      <c r="I16" s="21">
        <v>72</v>
      </c>
      <c r="J16" s="21">
        <v>0</v>
      </c>
      <c r="K16" s="21">
        <v>100</v>
      </c>
      <c r="L16" s="21">
        <v>4</v>
      </c>
      <c r="M16" s="21">
        <v>100</v>
      </c>
      <c r="N16" s="21">
        <v>0</v>
      </c>
      <c r="O16" s="35">
        <v>13</v>
      </c>
      <c r="P16" s="21">
        <v>90</v>
      </c>
      <c r="Q16" s="4">
        <v>781.16</v>
      </c>
      <c r="R16" s="4">
        <v>30.899999619999999</v>
      </c>
      <c r="S16">
        <v>288</v>
      </c>
      <c r="T16">
        <v>0</v>
      </c>
      <c r="U16">
        <v>0</v>
      </c>
      <c r="V16">
        <v>0</v>
      </c>
      <c r="W16">
        <v>0</v>
      </c>
      <c r="X16">
        <v>0</v>
      </c>
      <c r="Y16">
        <v>14.514702227530718</v>
      </c>
      <c r="Z16">
        <v>45.811912547177684</v>
      </c>
      <c r="AA16">
        <v>0</v>
      </c>
      <c r="AB16">
        <v>45.811912547177684</v>
      </c>
      <c r="AC16" s="21">
        <f t="shared" si="0"/>
        <v>0</v>
      </c>
      <c r="AD16" s="21">
        <f t="shared" si="1"/>
        <v>0</v>
      </c>
      <c r="AE16" s="21">
        <f t="shared" si="2"/>
        <v>0</v>
      </c>
      <c r="AF16" s="21">
        <f t="shared" si="3"/>
        <v>0</v>
      </c>
      <c r="AG16" s="21">
        <f t="shared" si="4"/>
        <v>0</v>
      </c>
    </row>
    <row r="17" spans="1:33" x14ac:dyDescent="0.4">
      <c r="A17" s="21">
        <v>110</v>
      </c>
      <c r="B17" s="21" t="str">
        <v>Drain</v>
      </c>
      <c r="C17" s="21">
        <v>51.741317000000002</v>
      </c>
      <c r="D17" s="21">
        <v>620328.5</v>
      </c>
      <c r="E17" s="21">
        <v>6082493.2000000002</v>
      </c>
      <c r="F17" s="21">
        <v>763.8</v>
      </c>
      <c r="G17" s="21">
        <v>15</v>
      </c>
      <c r="H17" s="21">
        <v>0</v>
      </c>
      <c r="I17" s="21">
        <v>40.15</v>
      </c>
      <c r="J17" s="21">
        <v>0</v>
      </c>
      <c r="K17" s="21">
        <v>100</v>
      </c>
      <c r="L17" s="21">
        <v>4</v>
      </c>
      <c r="M17" s="21">
        <v>100</v>
      </c>
      <c r="N17" s="21">
        <v>0</v>
      </c>
      <c r="O17" s="35">
        <v>2</v>
      </c>
      <c r="P17" s="21">
        <v>90</v>
      </c>
      <c r="Q17" s="4">
        <v>781.16</v>
      </c>
      <c r="R17" s="4">
        <v>30.899999619999999</v>
      </c>
      <c r="S17">
        <v>160.6</v>
      </c>
      <c r="T17">
        <v>0</v>
      </c>
      <c r="U17">
        <v>0</v>
      </c>
      <c r="V17">
        <v>0</v>
      </c>
      <c r="W17">
        <v>0</v>
      </c>
      <c r="X17">
        <v>0</v>
      </c>
      <c r="Y17">
        <v>3.4968599621920786</v>
      </c>
      <c r="Z17">
        <v>4.7544554951311042</v>
      </c>
      <c r="AA17">
        <v>0</v>
      </c>
      <c r="AB17">
        <v>4.7544554951311042</v>
      </c>
      <c r="AC17" s="21">
        <f t="shared" si="0"/>
        <v>0</v>
      </c>
      <c r="AD17" s="21">
        <f t="shared" si="1"/>
        <v>0</v>
      </c>
      <c r="AE17" s="21">
        <f t="shared" si="2"/>
        <v>0</v>
      </c>
      <c r="AF17" s="21">
        <f t="shared" si="3"/>
        <v>0</v>
      </c>
      <c r="AG17" s="21">
        <f t="shared" si="4"/>
        <v>0</v>
      </c>
    </row>
    <row r="18" spans="1:33" x14ac:dyDescent="0.4">
      <c r="A18" s="21">
        <v>116</v>
      </c>
      <c r="B18" s="21" t="str">
        <v>Drain</v>
      </c>
      <c r="C18" s="21">
        <v>47.597133999999997</v>
      </c>
      <c r="D18" s="21">
        <v>620409.59999999998</v>
      </c>
      <c r="E18" s="21">
        <v>6082518.5999999996</v>
      </c>
      <c r="F18" s="21">
        <v>764</v>
      </c>
      <c r="G18" s="21">
        <v>15</v>
      </c>
      <c r="H18" s="21">
        <v>0</v>
      </c>
      <c r="I18" s="21">
        <v>132</v>
      </c>
      <c r="J18" s="21">
        <v>0</v>
      </c>
      <c r="K18" s="21">
        <v>100</v>
      </c>
      <c r="L18" s="21">
        <v>3</v>
      </c>
      <c r="M18" s="21">
        <v>100</v>
      </c>
      <c r="N18" s="21">
        <v>0</v>
      </c>
      <c r="O18" s="35">
        <v>20</v>
      </c>
      <c r="P18" s="21">
        <v>90</v>
      </c>
      <c r="Q18" s="4">
        <v>781.16</v>
      </c>
      <c r="R18" s="4">
        <v>30.899999619999999</v>
      </c>
      <c r="S18">
        <v>396</v>
      </c>
      <c r="T18">
        <v>6.4807208789595743</v>
      </c>
      <c r="U18">
        <v>0</v>
      </c>
      <c r="V18">
        <v>0</v>
      </c>
      <c r="W18">
        <v>0</v>
      </c>
      <c r="X18">
        <v>6.4807208789595743</v>
      </c>
      <c r="Y18">
        <v>7.7042981374383723</v>
      </c>
      <c r="Z18">
        <v>71.378811521850025</v>
      </c>
      <c r="AA18">
        <v>6.4807208789595743</v>
      </c>
      <c r="AB18">
        <v>64.898090642890452</v>
      </c>
      <c r="AC18" s="21">
        <f t="shared" si="0"/>
        <v>100</v>
      </c>
      <c r="AD18" s="21">
        <f t="shared" si="1"/>
        <v>100</v>
      </c>
      <c r="AE18" s="21">
        <f t="shared" si="2"/>
        <v>100</v>
      </c>
      <c r="AF18" s="21">
        <f t="shared" si="3"/>
        <v>0</v>
      </c>
      <c r="AG18" s="21">
        <f t="shared" si="4"/>
        <v>0</v>
      </c>
    </row>
    <row r="19" spans="1:33" x14ac:dyDescent="0.4">
      <c r="A19" s="21">
        <v>114</v>
      </c>
      <c r="B19" s="21" t="str">
        <v>Drain</v>
      </c>
      <c r="C19" s="21">
        <v>21.892489000000001</v>
      </c>
      <c r="D19" s="21">
        <v>620386.19999999995</v>
      </c>
      <c r="E19" s="21">
        <v>6082482.4000000004</v>
      </c>
      <c r="F19" s="21">
        <v>764.1</v>
      </c>
      <c r="G19" s="21">
        <v>19</v>
      </c>
      <c r="H19" s="21">
        <v>0</v>
      </c>
      <c r="I19" s="21">
        <v>12.27</v>
      </c>
      <c r="J19" s="21">
        <v>0</v>
      </c>
      <c r="K19" s="21">
        <v>100</v>
      </c>
      <c r="L19" s="21">
        <v>3</v>
      </c>
      <c r="M19" s="21">
        <v>100</v>
      </c>
      <c r="N19" s="21">
        <v>1</v>
      </c>
      <c r="O19" s="35">
        <v>9</v>
      </c>
      <c r="P19" s="21">
        <v>90</v>
      </c>
      <c r="Q19" s="4">
        <v>781.16</v>
      </c>
      <c r="R19" s="4">
        <v>30.899999619999999</v>
      </c>
      <c r="S19">
        <v>36.81</v>
      </c>
      <c r="T19">
        <v>0</v>
      </c>
      <c r="U19">
        <v>0</v>
      </c>
      <c r="V19">
        <v>0</v>
      </c>
      <c r="W19">
        <v>0</v>
      </c>
      <c r="X19">
        <v>0</v>
      </c>
      <c r="Y19">
        <v>79.195946706666618</v>
      </c>
      <c r="Z19">
        <v>0</v>
      </c>
      <c r="AA19">
        <v>0</v>
      </c>
      <c r="AB19">
        <v>0</v>
      </c>
      <c r="AC19" s="21">
        <f t="shared" si="0"/>
        <v>0</v>
      </c>
      <c r="AD19" s="21">
        <f t="shared" si="1"/>
        <v>0</v>
      </c>
      <c r="AE19" s="21">
        <f t="shared" si="2"/>
        <v>0</v>
      </c>
      <c r="AF19" s="21">
        <f t="shared" si="3"/>
        <v>0</v>
      </c>
      <c r="AG19" s="21">
        <f t="shared" si="4"/>
        <v>0</v>
      </c>
    </row>
    <row r="20" spans="1:33" x14ac:dyDescent="0.4">
      <c r="A20" s="21">
        <v>73</v>
      </c>
      <c r="B20" s="21" t="str">
        <v>Drain</v>
      </c>
      <c r="C20" s="21">
        <v>91.868313000000001</v>
      </c>
      <c r="D20" s="21">
        <v>619825.4</v>
      </c>
      <c r="E20" s="21">
        <v>6081554.7999999998</v>
      </c>
      <c r="F20" s="21">
        <v>765.3</v>
      </c>
      <c r="G20" s="21">
        <v>14</v>
      </c>
      <c r="H20" s="21">
        <v>0</v>
      </c>
      <c r="I20" s="21">
        <v>43</v>
      </c>
      <c r="J20" s="21">
        <v>0</v>
      </c>
      <c r="K20" s="21">
        <v>100</v>
      </c>
      <c r="L20" s="21">
        <v>3.3</v>
      </c>
      <c r="M20" s="21">
        <v>100</v>
      </c>
      <c r="N20" s="21">
        <v>0</v>
      </c>
      <c r="O20" s="35">
        <v>10</v>
      </c>
      <c r="P20" s="21">
        <v>90</v>
      </c>
      <c r="Q20" s="4">
        <v>781.16</v>
      </c>
      <c r="R20" s="4">
        <v>30.899999619999999</v>
      </c>
      <c r="S20">
        <v>141.9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 s="21">
        <f t="shared" si="0"/>
        <v>0</v>
      </c>
      <c r="AD20" s="21">
        <f t="shared" si="1"/>
        <v>0</v>
      </c>
      <c r="AE20" s="21">
        <f t="shared" si="2"/>
        <v>0</v>
      </c>
      <c r="AF20" s="21">
        <f t="shared" si="3"/>
        <v>0</v>
      </c>
      <c r="AG20" s="21">
        <f t="shared" si="4"/>
        <v>0</v>
      </c>
    </row>
    <row r="21" spans="1:33" x14ac:dyDescent="0.4">
      <c r="A21" s="21">
        <v>125</v>
      </c>
      <c r="B21" s="21" t="str">
        <v>Drain</v>
      </c>
      <c r="C21" s="21">
        <v>56.239874999999998</v>
      </c>
      <c r="D21" s="21">
        <v>620619.9</v>
      </c>
      <c r="E21" s="21">
        <v>6082655.5</v>
      </c>
      <c r="F21" s="21">
        <v>769</v>
      </c>
      <c r="G21" s="21">
        <v>14</v>
      </c>
      <c r="H21" s="21">
        <v>0</v>
      </c>
      <c r="I21" s="21">
        <v>57</v>
      </c>
      <c r="J21" s="21">
        <v>0</v>
      </c>
      <c r="K21" s="21">
        <v>100</v>
      </c>
      <c r="L21" s="21">
        <v>3.4</v>
      </c>
      <c r="M21" s="21">
        <v>100</v>
      </c>
      <c r="N21" s="21">
        <v>0</v>
      </c>
      <c r="O21" s="35">
        <v>4</v>
      </c>
      <c r="P21" s="21">
        <v>90</v>
      </c>
      <c r="Q21" s="4">
        <v>781.16</v>
      </c>
      <c r="R21" s="4">
        <v>30.899999619999999</v>
      </c>
      <c r="S21">
        <v>193.79999999999998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8.2468749578219693</v>
      </c>
      <c r="AA21">
        <v>0</v>
      </c>
      <c r="AB21">
        <v>8.2468749578219693</v>
      </c>
      <c r="AC21" s="21">
        <f t="shared" si="0"/>
        <v>0</v>
      </c>
      <c r="AD21" s="21">
        <f t="shared" si="1"/>
        <v>0</v>
      </c>
      <c r="AE21" s="21">
        <f t="shared" si="2"/>
        <v>0</v>
      </c>
      <c r="AF21" s="21">
        <f t="shared" si="3"/>
        <v>0</v>
      </c>
      <c r="AG21" s="21">
        <f t="shared" si="4"/>
        <v>0</v>
      </c>
    </row>
    <row r="22" spans="1:33" x14ac:dyDescent="0.4">
      <c r="A22" s="21">
        <v>109</v>
      </c>
      <c r="B22" s="21" t="str">
        <v>Drain</v>
      </c>
      <c r="C22" s="21">
        <v>49.578721000000002</v>
      </c>
      <c r="D22" s="21">
        <v>620304.4</v>
      </c>
      <c r="E22" s="21">
        <v>6082461.0999999996</v>
      </c>
      <c r="F22" s="21">
        <v>771</v>
      </c>
      <c r="G22" s="21">
        <v>17</v>
      </c>
      <c r="H22" s="21">
        <v>0</v>
      </c>
      <c r="I22" s="21">
        <v>39.200000000000003</v>
      </c>
      <c r="J22" s="21">
        <v>0</v>
      </c>
      <c r="K22" s="21">
        <v>100</v>
      </c>
      <c r="L22" s="21">
        <v>3.7</v>
      </c>
      <c r="M22" s="21">
        <v>100</v>
      </c>
      <c r="N22" s="21">
        <v>0</v>
      </c>
      <c r="O22" s="35">
        <v>11</v>
      </c>
      <c r="P22" s="21">
        <v>90</v>
      </c>
      <c r="Q22" s="4">
        <v>781.16</v>
      </c>
      <c r="R22" s="4">
        <v>30.899999619999999</v>
      </c>
      <c r="S22">
        <v>145.04000000000002</v>
      </c>
      <c r="T22">
        <v>0</v>
      </c>
      <c r="U22">
        <v>0</v>
      </c>
      <c r="V22">
        <v>0</v>
      </c>
      <c r="W22">
        <v>0</v>
      </c>
      <c r="X22">
        <v>0</v>
      </c>
      <c r="Y22">
        <v>2.0640613514034274</v>
      </c>
      <c r="Z22">
        <v>3.3675207293832874</v>
      </c>
      <c r="AA22">
        <v>0</v>
      </c>
      <c r="AB22">
        <v>3.3675207293832874</v>
      </c>
      <c r="AC22" s="21">
        <f t="shared" si="0"/>
        <v>0</v>
      </c>
      <c r="AD22" s="21">
        <f t="shared" si="1"/>
        <v>0</v>
      </c>
      <c r="AE22" s="21">
        <f t="shared" si="2"/>
        <v>0</v>
      </c>
      <c r="AF22" s="21">
        <f t="shared" si="3"/>
        <v>0</v>
      </c>
      <c r="AG22" s="21">
        <f t="shared" si="4"/>
        <v>0</v>
      </c>
    </row>
    <row r="23" spans="1:33" x14ac:dyDescent="0.4">
      <c r="A23" s="21">
        <v>74</v>
      </c>
      <c r="B23" s="21" t="str">
        <v>Drain</v>
      </c>
      <c r="C23" s="21">
        <v>56.854332999999997</v>
      </c>
      <c r="D23" s="21">
        <v>619840.80000000005</v>
      </c>
      <c r="E23" s="21">
        <v>6081595.2999999998</v>
      </c>
      <c r="F23" s="21">
        <v>773.6</v>
      </c>
      <c r="G23" s="21">
        <v>19</v>
      </c>
      <c r="H23" s="21">
        <v>0</v>
      </c>
      <c r="I23" s="21">
        <v>19.97</v>
      </c>
      <c r="J23" s="21">
        <v>0</v>
      </c>
      <c r="K23" s="21">
        <v>100</v>
      </c>
      <c r="L23" s="21">
        <v>3.6</v>
      </c>
      <c r="M23" s="21">
        <v>100</v>
      </c>
      <c r="N23" s="21">
        <v>0</v>
      </c>
      <c r="O23" s="35">
        <v>18</v>
      </c>
      <c r="P23" s="21">
        <v>90</v>
      </c>
      <c r="Q23" s="4">
        <v>781.16</v>
      </c>
      <c r="R23" s="4">
        <v>30.899999619999999</v>
      </c>
      <c r="S23">
        <v>71.891999999999996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 s="21">
        <f t="shared" si="0"/>
        <v>0</v>
      </c>
      <c r="AD23" s="21">
        <f t="shared" si="1"/>
        <v>0</v>
      </c>
      <c r="AE23" s="21">
        <f t="shared" si="2"/>
        <v>0</v>
      </c>
      <c r="AF23" s="21">
        <f t="shared" si="3"/>
        <v>0</v>
      </c>
      <c r="AG23" s="21">
        <f t="shared" si="4"/>
        <v>0</v>
      </c>
    </row>
    <row r="24" spans="1:33" x14ac:dyDescent="0.4">
      <c r="A24" s="21">
        <v>126</v>
      </c>
      <c r="B24" s="21" t="str">
        <v>Drain</v>
      </c>
      <c r="C24" s="21">
        <v>56.864032999999999</v>
      </c>
      <c r="D24" s="21">
        <v>620662.19999999995</v>
      </c>
      <c r="E24" s="21">
        <v>6082617.4000000004</v>
      </c>
      <c r="F24" s="21">
        <v>776.6</v>
      </c>
      <c r="G24" s="21">
        <v>11</v>
      </c>
      <c r="H24" s="21">
        <v>0</v>
      </c>
      <c r="I24" s="21">
        <v>69</v>
      </c>
      <c r="J24" s="21">
        <v>0</v>
      </c>
      <c r="K24" s="21">
        <v>100</v>
      </c>
      <c r="L24" s="21">
        <v>2.9</v>
      </c>
      <c r="M24" s="21">
        <v>100</v>
      </c>
      <c r="N24" s="21">
        <v>1</v>
      </c>
      <c r="O24" s="35">
        <v>8</v>
      </c>
      <c r="P24" s="21">
        <v>90</v>
      </c>
      <c r="Q24" s="4">
        <v>781.16</v>
      </c>
      <c r="R24" s="4">
        <v>30.899999619999999</v>
      </c>
      <c r="S24">
        <v>200.1</v>
      </c>
      <c r="T24">
        <v>8.5568083346563206</v>
      </c>
      <c r="U24">
        <v>0</v>
      </c>
      <c r="V24">
        <v>0</v>
      </c>
      <c r="W24">
        <v>1.5440225136294792</v>
      </c>
      <c r="X24">
        <v>8.5568083346563206</v>
      </c>
      <c r="Y24">
        <v>19.042249908730607</v>
      </c>
      <c r="Z24">
        <v>8.5568083346563206</v>
      </c>
      <c r="AA24">
        <v>0</v>
      </c>
      <c r="AB24">
        <v>8.5568083346563206</v>
      </c>
      <c r="AC24" s="21">
        <f t="shared" si="0"/>
        <v>81.955625821651708</v>
      </c>
      <c r="AD24" s="21">
        <f t="shared" si="1"/>
        <v>100</v>
      </c>
      <c r="AE24" s="21">
        <f t="shared" si="2"/>
        <v>100</v>
      </c>
      <c r="AF24" s="21">
        <f t="shared" si="3"/>
        <v>0</v>
      </c>
      <c r="AG24" s="21">
        <f t="shared" si="4"/>
        <v>0</v>
      </c>
    </row>
    <row r="25" spans="1:33" x14ac:dyDescent="0.4">
      <c r="A25" s="21">
        <v>75</v>
      </c>
      <c r="B25" s="21" t="str">
        <v>Drain</v>
      </c>
      <c r="C25" s="21">
        <v>63.341642</v>
      </c>
      <c r="D25" s="21">
        <v>619848.19999999995</v>
      </c>
      <c r="E25" s="21">
        <v>6081616.2000000002</v>
      </c>
      <c r="F25" s="21">
        <v>777.3</v>
      </c>
      <c r="G25" s="21">
        <v>14</v>
      </c>
      <c r="H25" s="21">
        <v>0</v>
      </c>
      <c r="I25" s="21">
        <v>15.33</v>
      </c>
      <c r="J25" s="21">
        <v>0</v>
      </c>
      <c r="K25" s="21">
        <v>100</v>
      </c>
      <c r="L25" s="21">
        <v>4</v>
      </c>
      <c r="M25" s="21">
        <v>100</v>
      </c>
      <c r="N25" s="21">
        <v>0</v>
      </c>
      <c r="O25" s="35">
        <v>5</v>
      </c>
      <c r="P25" s="21">
        <v>90</v>
      </c>
      <c r="Q25" s="4">
        <v>781.16</v>
      </c>
      <c r="R25" s="4">
        <v>30.899999619999999</v>
      </c>
      <c r="S25">
        <v>61.32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 s="21">
        <f t="shared" si="0"/>
        <v>0</v>
      </c>
      <c r="AD25" s="21">
        <f t="shared" si="1"/>
        <v>0</v>
      </c>
      <c r="AE25" s="21">
        <f t="shared" si="2"/>
        <v>0</v>
      </c>
      <c r="AF25" s="21">
        <f t="shared" si="3"/>
        <v>0</v>
      </c>
      <c r="AG25" s="21">
        <f t="shared" si="4"/>
        <v>0</v>
      </c>
    </row>
    <row r="26" spans="1:33" x14ac:dyDescent="0.4">
      <c r="A26" s="21">
        <v>108</v>
      </c>
      <c r="B26" s="21" t="str">
        <v>Drain</v>
      </c>
      <c r="C26" s="21">
        <v>66.933215000000004</v>
      </c>
      <c r="D26" s="21">
        <v>620294.1</v>
      </c>
      <c r="E26" s="21">
        <v>6082423.2000000002</v>
      </c>
      <c r="F26" s="21">
        <v>778.5</v>
      </c>
      <c r="G26" s="21">
        <v>9</v>
      </c>
      <c r="H26" s="21">
        <v>0</v>
      </c>
      <c r="I26" s="21">
        <v>33</v>
      </c>
      <c r="J26" s="21">
        <v>0</v>
      </c>
      <c r="K26" s="21">
        <v>100</v>
      </c>
      <c r="L26" s="21">
        <v>4.5</v>
      </c>
      <c r="M26" s="21">
        <v>100</v>
      </c>
      <c r="N26" s="21">
        <v>0</v>
      </c>
      <c r="O26" s="35">
        <v>6</v>
      </c>
      <c r="P26" s="21">
        <v>90</v>
      </c>
      <c r="Q26" s="4">
        <v>781.16</v>
      </c>
      <c r="R26" s="4">
        <v>30.899999619999999</v>
      </c>
      <c r="S26">
        <v>148.5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 s="21">
        <f t="shared" si="0"/>
        <v>0</v>
      </c>
      <c r="AD26" s="21">
        <f t="shared" si="1"/>
        <v>0</v>
      </c>
      <c r="AE26" s="21">
        <f t="shared" si="2"/>
        <v>0</v>
      </c>
      <c r="AF26" s="21">
        <f t="shared" si="3"/>
        <v>0</v>
      </c>
      <c r="AG26" s="21">
        <f t="shared" si="4"/>
        <v>0</v>
      </c>
    </row>
    <row r="27" spans="1:33" x14ac:dyDescent="0.4">
      <c r="A27" s="21">
        <v>76</v>
      </c>
      <c r="B27" s="21" t="str">
        <v>Drain</v>
      </c>
      <c r="C27" s="21">
        <v>55.777912999999998</v>
      </c>
      <c r="D27" s="21">
        <v>619830.69999999995</v>
      </c>
      <c r="E27" s="21">
        <v>6081625.7000000002</v>
      </c>
      <c r="F27" s="21">
        <v>781.9</v>
      </c>
      <c r="G27" s="21">
        <v>13</v>
      </c>
      <c r="H27" s="21">
        <v>0</v>
      </c>
      <c r="I27" s="21">
        <v>26.44</v>
      </c>
      <c r="J27" s="21">
        <v>0</v>
      </c>
      <c r="K27" s="21">
        <v>100</v>
      </c>
      <c r="L27" s="21">
        <v>3.9</v>
      </c>
      <c r="M27" s="21">
        <v>100</v>
      </c>
      <c r="N27" s="21">
        <v>0</v>
      </c>
      <c r="O27" s="35">
        <v>3</v>
      </c>
      <c r="P27" s="21">
        <v>90</v>
      </c>
      <c r="Q27" s="4">
        <v>781.16</v>
      </c>
      <c r="R27" s="4">
        <v>30.899999619999999</v>
      </c>
      <c r="S27">
        <v>103.116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 s="21">
        <f t="shared" si="0"/>
        <v>0</v>
      </c>
      <c r="AD27" s="21">
        <f t="shared" si="1"/>
        <v>0</v>
      </c>
      <c r="AE27" s="21">
        <f t="shared" si="2"/>
        <v>0</v>
      </c>
      <c r="AF27" s="21">
        <f t="shared" si="3"/>
        <v>0</v>
      </c>
      <c r="AG27" s="21">
        <f t="shared" si="4"/>
        <v>0</v>
      </c>
    </row>
    <row r="28" spans="1:33" x14ac:dyDescent="0.4">
      <c r="A28" s="21">
        <v>107</v>
      </c>
      <c r="B28" s="21" t="str">
        <v>Drain</v>
      </c>
      <c r="C28" s="21">
        <v>76.281851000000003</v>
      </c>
      <c r="D28" s="21">
        <v>620287.9</v>
      </c>
      <c r="E28" s="21">
        <v>6082390.7999999998</v>
      </c>
      <c r="F28" s="21">
        <v>783.3</v>
      </c>
      <c r="G28" s="21">
        <v>20</v>
      </c>
      <c r="H28" s="21">
        <v>0</v>
      </c>
      <c r="I28" s="21">
        <v>27.3</v>
      </c>
      <c r="J28" s="21">
        <v>0</v>
      </c>
      <c r="K28" s="21">
        <v>100</v>
      </c>
      <c r="L28" s="21">
        <v>4.2</v>
      </c>
      <c r="M28" s="21">
        <v>100</v>
      </c>
      <c r="N28" s="21">
        <v>0</v>
      </c>
      <c r="O28" s="35">
        <v>15</v>
      </c>
      <c r="P28" s="21">
        <v>90</v>
      </c>
      <c r="Q28" s="4">
        <v>781.16</v>
      </c>
      <c r="R28" s="4">
        <v>30.899999619999999</v>
      </c>
      <c r="S28">
        <v>114.66000000000001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 s="21">
        <f t="shared" si="0"/>
        <v>0</v>
      </c>
      <c r="AD28" s="21">
        <f t="shared" si="1"/>
        <v>0</v>
      </c>
      <c r="AE28" s="21">
        <f t="shared" si="2"/>
        <v>0</v>
      </c>
      <c r="AF28" s="21">
        <f t="shared" si="3"/>
        <v>0</v>
      </c>
      <c r="AG28" s="21">
        <f t="shared" si="4"/>
        <v>0</v>
      </c>
    </row>
    <row r="29" spans="1:33" x14ac:dyDescent="0.4">
      <c r="A29" s="21">
        <v>77</v>
      </c>
      <c r="B29" s="21" t="str">
        <v>Drain</v>
      </c>
      <c r="C29" s="21">
        <v>4.3078500000000002</v>
      </c>
      <c r="D29" s="21">
        <v>619836</v>
      </c>
      <c r="E29" s="21">
        <v>6081651.5999999996</v>
      </c>
      <c r="F29" s="21">
        <v>786.2</v>
      </c>
      <c r="G29" s="21">
        <v>17</v>
      </c>
      <c r="H29" s="21">
        <v>0</v>
      </c>
      <c r="I29" s="21">
        <v>25.85</v>
      </c>
      <c r="J29" s="21">
        <v>0</v>
      </c>
      <c r="K29" s="21">
        <v>100</v>
      </c>
      <c r="L29" s="21">
        <v>3.4</v>
      </c>
      <c r="M29" s="21">
        <v>100</v>
      </c>
      <c r="N29" s="21">
        <v>1</v>
      </c>
      <c r="O29" s="35">
        <v>11</v>
      </c>
      <c r="P29" s="21">
        <v>90</v>
      </c>
      <c r="Q29" s="4">
        <v>781.16</v>
      </c>
      <c r="R29" s="4">
        <v>30.899999619999999</v>
      </c>
      <c r="S29">
        <v>87.89</v>
      </c>
      <c r="T29">
        <v>26.189590530021292</v>
      </c>
      <c r="U29">
        <v>2.3423928866395043</v>
      </c>
      <c r="V29">
        <v>9.5335111842805365</v>
      </c>
      <c r="W29">
        <v>17.707360277184481</v>
      </c>
      <c r="X29">
        <v>26.189590530021292</v>
      </c>
      <c r="Y29">
        <v>100.58848814676389</v>
      </c>
      <c r="Z29">
        <v>26.189590530021292</v>
      </c>
      <c r="AA29">
        <v>13.574638113243212</v>
      </c>
      <c r="AB29">
        <v>12.614952416778079</v>
      </c>
      <c r="AC29" s="21">
        <f t="shared" si="0"/>
        <v>32.387792558702195</v>
      </c>
      <c r="AD29" s="21">
        <f t="shared" si="1"/>
        <v>63.598089961153804</v>
      </c>
      <c r="AE29" s="21">
        <f t="shared" si="2"/>
        <v>91.056015618287717</v>
      </c>
      <c r="AF29" s="21">
        <f t="shared" si="3"/>
        <v>0</v>
      </c>
      <c r="AG29" s="21">
        <f t="shared" si="4"/>
        <v>0</v>
      </c>
    </row>
    <row r="30" spans="1:33" x14ac:dyDescent="0.4">
      <c r="A30" s="21">
        <v>127</v>
      </c>
      <c r="B30" s="21" t="str">
        <v>Drain</v>
      </c>
      <c r="C30" s="21">
        <v>109.3621</v>
      </c>
      <c r="D30" s="21">
        <v>620704.19999999995</v>
      </c>
      <c r="E30" s="21">
        <v>6082561.9000000004</v>
      </c>
      <c r="F30" s="21">
        <v>787.3</v>
      </c>
      <c r="G30" s="21">
        <v>19</v>
      </c>
      <c r="H30" s="21">
        <v>0</v>
      </c>
      <c r="I30" s="21">
        <v>60</v>
      </c>
      <c r="J30" s="21">
        <v>0</v>
      </c>
      <c r="K30" s="21">
        <v>100</v>
      </c>
      <c r="L30" s="21">
        <v>3.2</v>
      </c>
      <c r="M30" s="21">
        <v>100</v>
      </c>
      <c r="N30" s="21">
        <v>0</v>
      </c>
      <c r="O30" s="35">
        <v>10</v>
      </c>
      <c r="P30" s="21">
        <v>90</v>
      </c>
      <c r="Q30" s="4">
        <v>781.16</v>
      </c>
      <c r="R30" s="4">
        <v>30.899999619999999</v>
      </c>
      <c r="S30">
        <v>192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 s="21">
        <f t="shared" si="0"/>
        <v>0</v>
      </c>
      <c r="AD30" s="21">
        <f t="shared" si="1"/>
        <v>0</v>
      </c>
      <c r="AE30" s="21">
        <f t="shared" si="2"/>
        <v>0</v>
      </c>
      <c r="AF30" s="21">
        <f t="shared" si="3"/>
        <v>0</v>
      </c>
      <c r="AG30" s="21">
        <f t="shared" si="4"/>
        <v>0</v>
      </c>
    </row>
    <row r="31" spans="1:33" x14ac:dyDescent="0.4">
      <c r="A31" s="21">
        <v>106</v>
      </c>
      <c r="B31" s="21" t="str">
        <v>Drain</v>
      </c>
      <c r="C31" s="21">
        <v>99.606858000000003</v>
      </c>
      <c r="D31" s="21">
        <v>620302.4</v>
      </c>
      <c r="E31" s="21">
        <v>6082367.5999999996</v>
      </c>
      <c r="F31" s="21">
        <v>788.5</v>
      </c>
      <c r="G31" s="21">
        <v>11</v>
      </c>
      <c r="H31" s="21">
        <v>0</v>
      </c>
      <c r="I31" s="21">
        <v>60.95</v>
      </c>
      <c r="J31" s="21">
        <v>0</v>
      </c>
      <c r="K31" s="21">
        <v>100</v>
      </c>
      <c r="L31" s="21">
        <v>3.5</v>
      </c>
      <c r="M31" s="21">
        <v>100</v>
      </c>
      <c r="N31" s="21">
        <v>0</v>
      </c>
      <c r="O31" s="35">
        <v>4</v>
      </c>
      <c r="P31" s="21">
        <v>90</v>
      </c>
      <c r="Q31" s="4">
        <v>781.16</v>
      </c>
      <c r="R31" s="4">
        <v>30.899999619999999</v>
      </c>
      <c r="S31">
        <v>213.32500000000002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 s="21">
        <f t="shared" si="0"/>
        <v>0</v>
      </c>
      <c r="AD31" s="21">
        <f t="shared" si="1"/>
        <v>0</v>
      </c>
      <c r="AE31" s="21">
        <f t="shared" si="2"/>
        <v>0</v>
      </c>
      <c r="AF31" s="21">
        <f t="shared" si="3"/>
        <v>0</v>
      </c>
      <c r="AG31" s="21">
        <f t="shared" si="4"/>
        <v>0</v>
      </c>
    </row>
    <row r="32" spans="1:33" x14ac:dyDescent="0.4">
      <c r="A32" s="21">
        <v>78</v>
      </c>
      <c r="B32" s="21" t="str">
        <v>Drain</v>
      </c>
      <c r="C32" s="21">
        <v>93.388644999999997</v>
      </c>
      <c r="D32" s="21">
        <v>619847.80000000005</v>
      </c>
      <c r="E32" s="21">
        <v>6081674.5999999996</v>
      </c>
      <c r="F32" s="21">
        <v>794.2</v>
      </c>
      <c r="G32" s="21">
        <v>14</v>
      </c>
      <c r="H32" s="21">
        <v>0</v>
      </c>
      <c r="I32" s="21">
        <v>28.81</v>
      </c>
      <c r="J32" s="21">
        <v>0</v>
      </c>
      <c r="K32" s="21">
        <v>100</v>
      </c>
      <c r="L32" s="21">
        <v>5.6</v>
      </c>
      <c r="M32" s="21">
        <v>100</v>
      </c>
      <c r="N32" s="21">
        <v>1</v>
      </c>
      <c r="O32" s="35">
        <v>15</v>
      </c>
      <c r="P32" s="21">
        <v>90</v>
      </c>
      <c r="Q32" s="4">
        <v>781.16</v>
      </c>
      <c r="R32" s="4">
        <v>30.899999619999999</v>
      </c>
      <c r="S32">
        <v>161.33599999999998</v>
      </c>
      <c r="T32">
        <v>0</v>
      </c>
      <c r="U32">
        <v>0</v>
      </c>
      <c r="V32">
        <v>0</v>
      </c>
      <c r="W32">
        <v>0</v>
      </c>
      <c r="X32">
        <v>0</v>
      </c>
      <c r="Y32">
        <v>70.941377219131169</v>
      </c>
      <c r="Z32">
        <v>0</v>
      </c>
      <c r="AA32">
        <v>0</v>
      </c>
      <c r="AB32">
        <v>0</v>
      </c>
      <c r="AC32" s="21">
        <f t="shared" si="0"/>
        <v>0</v>
      </c>
      <c r="AD32" s="21">
        <f t="shared" si="1"/>
        <v>0</v>
      </c>
      <c r="AE32" s="21">
        <f t="shared" si="2"/>
        <v>0</v>
      </c>
      <c r="AF32" s="21">
        <f t="shared" si="3"/>
        <v>0</v>
      </c>
      <c r="AG32" s="21">
        <f t="shared" si="4"/>
        <v>0</v>
      </c>
    </row>
    <row r="33" spans="1:33" x14ac:dyDescent="0.4">
      <c r="A33" s="21">
        <v>105</v>
      </c>
      <c r="B33" s="21" t="str">
        <v>Drain</v>
      </c>
      <c r="C33" s="21">
        <v>57.874946000000001</v>
      </c>
      <c r="D33" s="21">
        <v>620290.6</v>
      </c>
      <c r="E33" s="21">
        <v>6082307.7999999998</v>
      </c>
      <c r="F33" s="21">
        <v>794.8</v>
      </c>
      <c r="G33" s="21">
        <v>10</v>
      </c>
      <c r="H33" s="21">
        <v>0</v>
      </c>
      <c r="I33" s="21">
        <v>38.15</v>
      </c>
      <c r="J33" s="21">
        <v>0</v>
      </c>
      <c r="K33" s="21">
        <v>100</v>
      </c>
      <c r="L33" s="21">
        <v>2.8</v>
      </c>
      <c r="M33" s="21">
        <v>100</v>
      </c>
      <c r="N33" s="21">
        <v>0</v>
      </c>
      <c r="O33" s="35">
        <v>6</v>
      </c>
      <c r="P33" s="21">
        <v>90</v>
      </c>
      <c r="Q33" s="4">
        <v>781.16</v>
      </c>
      <c r="R33" s="4">
        <v>30.899999619999999</v>
      </c>
      <c r="S33">
        <v>106.82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 s="21">
        <f t="shared" si="0"/>
        <v>0</v>
      </c>
      <c r="AD33" s="21">
        <f t="shared" si="1"/>
        <v>0</v>
      </c>
      <c r="AE33" s="21">
        <f t="shared" si="2"/>
        <v>0</v>
      </c>
      <c r="AF33" s="21">
        <f t="shared" si="3"/>
        <v>0</v>
      </c>
      <c r="AG33" s="21">
        <f t="shared" si="4"/>
        <v>0</v>
      </c>
    </row>
    <row r="34" spans="1:33" x14ac:dyDescent="0.4">
      <c r="A34" s="21">
        <v>104</v>
      </c>
      <c r="B34" s="21" t="str">
        <v>Drain</v>
      </c>
      <c r="C34" s="21">
        <v>58.627426</v>
      </c>
      <c r="D34" s="21">
        <v>620281.69999999995</v>
      </c>
      <c r="E34" s="21">
        <v>6082270.7000000002</v>
      </c>
      <c r="F34" s="21">
        <v>800.9</v>
      </c>
      <c r="G34" s="21">
        <v>8</v>
      </c>
      <c r="H34" s="21">
        <v>0</v>
      </c>
      <c r="I34" s="21">
        <v>22.14</v>
      </c>
      <c r="J34" s="21">
        <v>0</v>
      </c>
      <c r="K34" s="21">
        <v>100</v>
      </c>
      <c r="L34" s="21">
        <v>3.8</v>
      </c>
      <c r="M34" s="21">
        <v>100</v>
      </c>
      <c r="N34" s="21">
        <v>1</v>
      </c>
      <c r="O34" s="35">
        <v>7</v>
      </c>
      <c r="P34" s="21">
        <v>90</v>
      </c>
      <c r="Q34" s="4">
        <v>781.16</v>
      </c>
      <c r="R34" s="4">
        <v>30.899999619999999</v>
      </c>
      <c r="S34">
        <v>84.132000000000005</v>
      </c>
      <c r="T34">
        <v>0</v>
      </c>
      <c r="U34">
        <v>0</v>
      </c>
      <c r="V34">
        <v>0</v>
      </c>
      <c r="W34">
        <v>0</v>
      </c>
      <c r="X34">
        <v>0</v>
      </c>
      <c r="Y34">
        <v>46.593505157064861</v>
      </c>
      <c r="Z34">
        <v>0</v>
      </c>
      <c r="AA34">
        <v>0</v>
      </c>
      <c r="AB34">
        <v>0</v>
      </c>
      <c r="AC34" s="21">
        <f t="shared" si="0"/>
        <v>0</v>
      </c>
      <c r="AD34" s="21">
        <f t="shared" si="1"/>
        <v>0</v>
      </c>
      <c r="AE34" s="21">
        <f t="shared" si="2"/>
        <v>0</v>
      </c>
      <c r="AF34" s="21">
        <f t="shared" si="3"/>
        <v>0</v>
      </c>
      <c r="AG34" s="21">
        <f t="shared" si="4"/>
        <v>0</v>
      </c>
    </row>
    <row r="35" spans="1:33" x14ac:dyDescent="0.4">
      <c r="A35" s="21">
        <v>84</v>
      </c>
      <c r="B35" s="21" t="str">
        <v>Drain</v>
      </c>
      <c r="C35" s="21">
        <v>38.736944999999999</v>
      </c>
      <c r="D35" s="21">
        <v>619946.19999999995</v>
      </c>
      <c r="E35" s="21">
        <v>6081814.2999999998</v>
      </c>
      <c r="F35" s="21">
        <v>802.8</v>
      </c>
      <c r="G35" s="21">
        <v>14</v>
      </c>
      <c r="H35" s="21">
        <v>0</v>
      </c>
      <c r="I35" s="21">
        <v>17.850000000000001</v>
      </c>
      <c r="J35" s="21">
        <v>0</v>
      </c>
      <c r="K35" s="21">
        <v>100</v>
      </c>
      <c r="L35" s="21">
        <v>3.8</v>
      </c>
      <c r="M35" s="21">
        <v>100</v>
      </c>
      <c r="N35" s="21">
        <v>0</v>
      </c>
      <c r="O35" s="35">
        <v>14</v>
      </c>
      <c r="P35" s="21">
        <v>90</v>
      </c>
      <c r="Q35" s="4">
        <v>781.16</v>
      </c>
      <c r="R35" s="4">
        <v>30.899999619999999</v>
      </c>
      <c r="S35">
        <v>67.83</v>
      </c>
      <c r="T35">
        <v>0</v>
      </c>
      <c r="U35">
        <v>0</v>
      </c>
      <c r="V35">
        <v>0</v>
      </c>
      <c r="W35">
        <v>0</v>
      </c>
      <c r="X35">
        <v>0</v>
      </c>
      <c r="Y35">
        <v>13.538946152184975</v>
      </c>
      <c r="Z35">
        <v>0</v>
      </c>
      <c r="AA35">
        <v>0</v>
      </c>
      <c r="AB35">
        <v>0</v>
      </c>
      <c r="AC35" s="21">
        <f t="shared" si="0"/>
        <v>0</v>
      </c>
      <c r="AD35" s="21">
        <f t="shared" si="1"/>
        <v>0</v>
      </c>
      <c r="AE35" s="21">
        <f t="shared" si="2"/>
        <v>0</v>
      </c>
      <c r="AF35" s="21">
        <f t="shared" si="3"/>
        <v>0</v>
      </c>
      <c r="AG35" s="21">
        <f t="shared" si="4"/>
        <v>0</v>
      </c>
    </row>
    <row r="36" spans="1:33" x14ac:dyDescent="0.4">
      <c r="A36" s="21">
        <v>79</v>
      </c>
      <c r="B36" s="21" t="str">
        <v>Drain</v>
      </c>
      <c r="C36" s="21">
        <v>81.495073000000005</v>
      </c>
      <c r="D36" s="21">
        <v>619854.4</v>
      </c>
      <c r="E36" s="21">
        <v>6081700.2999999998</v>
      </c>
      <c r="F36" s="21">
        <v>803.6</v>
      </c>
      <c r="G36" s="21">
        <v>23</v>
      </c>
      <c r="H36" s="21">
        <v>0</v>
      </c>
      <c r="I36" s="21">
        <v>7.34</v>
      </c>
      <c r="J36" s="21">
        <v>0</v>
      </c>
      <c r="K36" s="21">
        <v>100</v>
      </c>
      <c r="L36" s="21">
        <v>4.5999999999999996</v>
      </c>
      <c r="M36" s="21">
        <v>100</v>
      </c>
      <c r="N36" s="21">
        <v>0</v>
      </c>
      <c r="O36" s="35">
        <v>30</v>
      </c>
      <c r="P36" s="21">
        <v>90</v>
      </c>
      <c r="Q36" s="4">
        <v>781.16</v>
      </c>
      <c r="R36" s="4">
        <v>30.899999619999999</v>
      </c>
      <c r="S36">
        <v>33.763999999999996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 s="21">
        <f t="shared" si="0"/>
        <v>0</v>
      </c>
      <c r="AD36" s="21">
        <f t="shared" si="1"/>
        <v>0</v>
      </c>
      <c r="AE36" s="21">
        <f t="shared" si="2"/>
        <v>0</v>
      </c>
      <c r="AF36" s="21">
        <f t="shared" si="3"/>
        <v>0</v>
      </c>
      <c r="AG36" s="21">
        <f t="shared" si="4"/>
        <v>0</v>
      </c>
    </row>
    <row r="37" spans="1:33" x14ac:dyDescent="0.4">
      <c r="A37" s="21">
        <v>88</v>
      </c>
      <c r="B37" s="21" t="str">
        <v>Drain</v>
      </c>
      <c r="C37" s="21">
        <v>10.406696999999999</v>
      </c>
      <c r="D37" s="21">
        <v>619994.5</v>
      </c>
      <c r="E37" s="21">
        <v>6081893.7000000002</v>
      </c>
      <c r="F37" s="21">
        <v>803.8</v>
      </c>
      <c r="G37" s="21">
        <v>6</v>
      </c>
      <c r="H37" s="21">
        <v>0</v>
      </c>
      <c r="I37" s="21">
        <v>44.47</v>
      </c>
      <c r="J37" s="21">
        <v>0</v>
      </c>
      <c r="K37" s="21">
        <v>100</v>
      </c>
      <c r="L37" s="21">
        <v>3.8</v>
      </c>
      <c r="M37" s="21">
        <v>100</v>
      </c>
      <c r="N37" s="21">
        <v>1</v>
      </c>
      <c r="O37" s="35">
        <v>5</v>
      </c>
      <c r="P37" s="21">
        <v>90</v>
      </c>
      <c r="Q37" s="4">
        <v>781.16</v>
      </c>
      <c r="R37" s="4">
        <v>30.899999619999999</v>
      </c>
      <c r="S37">
        <v>168.98599999999999</v>
      </c>
      <c r="T37">
        <v>37.188944048335664</v>
      </c>
      <c r="U37">
        <v>2.3474663400741917</v>
      </c>
      <c r="V37">
        <v>12.354875333231764</v>
      </c>
      <c r="W37">
        <v>24.428415738267297</v>
      </c>
      <c r="X37">
        <v>37.188944048335664</v>
      </c>
      <c r="Y37">
        <v>66.397458605907786</v>
      </c>
      <c r="Z37">
        <v>37.188944048335664</v>
      </c>
      <c r="AA37">
        <v>15.74661189185648</v>
      </c>
      <c r="AB37">
        <v>21.442332156479182</v>
      </c>
      <c r="AC37" s="21">
        <f t="shared" si="0"/>
        <v>34.31269329261702</v>
      </c>
      <c r="AD37" s="21">
        <f t="shared" si="1"/>
        <v>66.778095884696981</v>
      </c>
      <c r="AE37" s="21">
        <f t="shared" si="2"/>
        <v>93.687730587286595</v>
      </c>
      <c r="AF37" s="21">
        <f t="shared" si="3"/>
        <v>0</v>
      </c>
      <c r="AG37" s="21">
        <f t="shared" si="4"/>
        <v>0</v>
      </c>
    </row>
    <row r="38" spans="1:33" x14ac:dyDescent="0.4">
      <c r="A38" s="21">
        <v>103</v>
      </c>
      <c r="B38" s="21" t="str">
        <v>Drain</v>
      </c>
      <c r="C38" s="21">
        <v>77.504437999999993</v>
      </c>
      <c r="D38" s="21">
        <v>620275</v>
      </c>
      <c r="E38" s="21">
        <v>6082249.5999999996</v>
      </c>
      <c r="F38" s="21">
        <v>804.2</v>
      </c>
      <c r="G38" s="21">
        <v>14</v>
      </c>
      <c r="H38" s="21">
        <v>0</v>
      </c>
      <c r="I38" s="21">
        <v>22.57</v>
      </c>
      <c r="J38" s="21">
        <v>0</v>
      </c>
      <c r="K38" s="21">
        <v>100</v>
      </c>
      <c r="L38" s="21">
        <v>4.4000000000000004</v>
      </c>
      <c r="M38" s="21">
        <v>100</v>
      </c>
      <c r="N38" s="21">
        <v>1</v>
      </c>
      <c r="O38" s="35">
        <v>7</v>
      </c>
      <c r="P38" s="21">
        <v>90</v>
      </c>
      <c r="Q38" s="4">
        <v>781.16</v>
      </c>
      <c r="R38" s="4">
        <v>30.899999619999999</v>
      </c>
      <c r="S38">
        <v>99.308000000000007</v>
      </c>
      <c r="T38">
        <v>0</v>
      </c>
      <c r="U38">
        <v>0</v>
      </c>
      <c r="V38">
        <v>0</v>
      </c>
      <c r="W38">
        <v>0</v>
      </c>
      <c r="X38">
        <v>0</v>
      </c>
      <c r="Y38">
        <v>51.927930222777213</v>
      </c>
      <c r="Z38">
        <v>0</v>
      </c>
      <c r="AA38">
        <v>0</v>
      </c>
      <c r="AB38">
        <v>0</v>
      </c>
      <c r="AC38" s="21">
        <f t="shared" si="0"/>
        <v>0</v>
      </c>
      <c r="AD38" s="21">
        <f t="shared" si="1"/>
        <v>0</v>
      </c>
      <c r="AE38" s="21">
        <f t="shared" si="2"/>
        <v>0</v>
      </c>
      <c r="AF38" s="21">
        <f t="shared" si="3"/>
        <v>0</v>
      </c>
      <c r="AG38" s="21">
        <f t="shared" si="4"/>
        <v>0</v>
      </c>
    </row>
    <row r="39" spans="1:33" x14ac:dyDescent="0.4">
      <c r="A39" s="21">
        <v>80</v>
      </c>
      <c r="B39" s="21" t="str">
        <v>Drain</v>
      </c>
      <c r="C39" s="21">
        <v>106.590699</v>
      </c>
      <c r="D39" s="21">
        <v>619857.4</v>
      </c>
      <c r="E39" s="21">
        <v>6081707</v>
      </c>
      <c r="F39" s="21">
        <v>806.2</v>
      </c>
      <c r="G39" s="21">
        <v>16</v>
      </c>
      <c r="H39" s="21">
        <v>0</v>
      </c>
      <c r="I39" s="21">
        <v>38.5</v>
      </c>
      <c r="J39" s="21">
        <v>0</v>
      </c>
      <c r="K39" s="21">
        <v>100</v>
      </c>
      <c r="L39" s="21">
        <v>3.8</v>
      </c>
      <c r="M39" s="21">
        <v>100</v>
      </c>
      <c r="N39" s="21">
        <v>1</v>
      </c>
      <c r="O39" s="35">
        <v>11</v>
      </c>
      <c r="P39" s="21">
        <v>90</v>
      </c>
      <c r="Q39" s="4">
        <v>781.16</v>
      </c>
      <c r="R39" s="4">
        <v>30.899999619999999</v>
      </c>
      <c r="S39">
        <v>146.29999999999998</v>
      </c>
      <c r="T39">
        <v>0</v>
      </c>
      <c r="U39">
        <v>0</v>
      </c>
      <c r="V39">
        <v>0</v>
      </c>
      <c r="W39">
        <v>0</v>
      </c>
      <c r="X39">
        <v>0</v>
      </c>
      <c r="Y39">
        <v>18.597686784593421</v>
      </c>
      <c r="Z39">
        <v>0</v>
      </c>
      <c r="AA39">
        <v>0</v>
      </c>
      <c r="AB39">
        <v>0</v>
      </c>
      <c r="AC39" s="21">
        <f t="shared" si="0"/>
        <v>0</v>
      </c>
      <c r="AD39" s="21">
        <f t="shared" si="1"/>
        <v>0</v>
      </c>
      <c r="AE39" s="21">
        <f t="shared" si="2"/>
        <v>0</v>
      </c>
      <c r="AF39" s="21">
        <f t="shared" si="3"/>
        <v>0</v>
      </c>
      <c r="AG39" s="21">
        <f t="shared" si="4"/>
        <v>0</v>
      </c>
    </row>
    <row r="40" spans="1:33" x14ac:dyDescent="0.4">
      <c r="A40" s="21">
        <v>85</v>
      </c>
      <c r="B40" s="21" t="str">
        <v>Drain</v>
      </c>
      <c r="C40" s="21">
        <v>47.911650000000002</v>
      </c>
      <c r="D40" s="21">
        <v>619939.9</v>
      </c>
      <c r="E40" s="21">
        <v>6081831</v>
      </c>
      <c r="F40" s="21">
        <v>806.7</v>
      </c>
      <c r="G40" s="21">
        <v>10</v>
      </c>
      <c r="H40" s="21">
        <v>0</v>
      </c>
      <c r="I40" s="21">
        <v>20.93</v>
      </c>
      <c r="J40" s="21">
        <v>0</v>
      </c>
      <c r="K40" s="21">
        <v>100</v>
      </c>
      <c r="L40" s="21">
        <v>4.8</v>
      </c>
      <c r="M40" s="21">
        <v>100</v>
      </c>
      <c r="N40" s="21">
        <v>0</v>
      </c>
      <c r="O40" s="35">
        <v>3</v>
      </c>
      <c r="P40" s="21">
        <v>90</v>
      </c>
      <c r="Q40" s="4">
        <v>781.16</v>
      </c>
      <c r="R40" s="4">
        <v>30.899999619999999</v>
      </c>
      <c r="S40">
        <v>100.464</v>
      </c>
      <c r="T40">
        <v>0</v>
      </c>
      <c r="U40">
        <v>0</v>
      </c>
      <c r="V40">
        <v>0</v>
      </c>
      <c r="W40">
        <v>0</v>
      </c>
      <c r="X40">
        <v>0</v>
      </c>
      <c r="Y40">
        <v>16.984522003839906</v>
      </c>
      <c r="Z40">
        <v>0</v>
      </c>
      <c r="AA40">
        <v>0</v>
      </c>
      <c r="AB40">
        <v>0</v>
      </c>
      <c r="AC40" s="21">
        <f t="shared" si="0"/>
        <v>0</v>
      </c>
      <c r="AD40" s="21">
        <f t="shared" si="1"/>
        <v>0</v>
      </c>
      <c r="AE40" s="21">
        <f t="shared" si="2"/>
        <v>0</v>
      </c>
      <c r="AF40" s="21">
        <f t="shared" si="3"/>
        <v>0</v>
      </c>
      <c r="AG40" s="21">
        <f t="shared" si="4"/>
        <v>0</v>
      </c>
    </row>
    <row r="41" spans="1:33" x14ac:dyDescent="0.4">
      <c r="A41" s="21">
        <v>102</v>
      </c>
      <c r="B41" s="21" t="str">
        <v>Drain</v>
      </c>
      <c r="C41" s="21">
        <v>22.501885000000001</v>
      </c>
      <c r="D41" s="21">
        <v>620263.80000000005</v>
      </c>
      <c r="E41" s="21">
        <v>6082230</v>
      </c>
      <c r="F41" s="21">
        <v>806.9</v>
      </c>
      <c r="G41" s="21">
        <v>8</v>
      </c>
      <c r="H41" s="21">
        <v>0</v>
      </c>
      <c r="I41" s="21">
        <v>63.7</v>
      </c>
      <c r="J41" s="21">
        <v>0</v>
      </c>
      <c r="K41" s="21">
        <v>100</v>
      </c>
      <c r="L41" s="21">
        <v>4</v>
      </c>
      <c r="M41" s="21">
        <v>100</v>
      </c>
      <c r="N41" s="21">
        <v>0</v>
      </c>
      <c r="O41" s="35">
        <v>7</v>
      </c>
      <c r="P41" s="21">
        <v>90</v>
      </c>
      <c r="Q41" s="4">
        <v>781.16</v>
      </c>
      <c r="R41" s="4">
        <v>30.899999619999999</v>
      </c>
      <c r="S41">
        <v>254.8</v>
      </c>
      <c r="T41">
        <v>12.421143973868338</v>
      </c>
      <c r="U41">
        <v>0</v>
      </c>
      <c r="V41">
        <v>0</v>
      </c>
      <c r="W41">
        <v>3.0872796025662304</v>
      </c>
      <c r="X41">
        <v>12.421143973868338</v>
      </c>
      <c r="Y41">
        <v>31.636936852144231</v>
      </c>
      <c r="Z41">
        <v>49.331551524045018</v>
      </c>
      <c r="AA41">
        <v>12.421143973868338</v>
      </c>
      <c r="AB41">
        <v>36.910407550176679</v>
      </c>
      <c r="AC41" s="21">
        <f t="shared" si="0"/>
        <v>75.144965640352751</v>
      </c>
      <c r="AD41" s="21">
        <f t="shared" si="1"/>
        <v>100</v>
      </c>
      <c r="AE41" s="21">
        <f t="shared" si="2"/>
        <v>100</v>
      </c>
      <c r="AF41" s="21">
        <f>IFERROR((($T41-X41)/$T41)*100,0)</f>
        <v>0</v>
      </c>
      <c r="AG41" s="21">
        <f t="shared" si="4"/>
        <v>0</v>
      </c>
    </row>
    <row r="42" spans="1:33" x14ac:dyDescent="0.4">
      <c r="A42" s="21">
        <v>86</v>
      </c>
      <c r="B42" s="21" t="str">
        <v>Drain</v>
      </c>
      <c r="C42" s="21">
        <v>4.0108709999999999</v>
      </c>
      <c r="D42" s="21">
        <v>619934.4</v>
      </c>
      <c r="E42" s="21">
        <v>6081851.2000000002</v>
      </c>
      <c r="F42" s="21">
        <v>809.3</v>
      </c>
      <c r="G42" s="21">
        <v>9</v>
      </c>
      <c r="H42" s="21">
        <v>0</v>
      </c>
      <c r="I42" s="21">
        <v>10.54</v>
      </c>
      <c r="J42" s="21">
        <v>0</v>
      </c>
      <c r="K42" s="21">
        <v>100</v>
      </c>
      <c r="L42" s="21">
        <v>3.1</v>
      </c>
      <c r="M42" s="21">
        <v>100</v>
      </c>
      <c r="N42" s="21">
        <v>0</v>
      </c>
      <c r="O42" s="35">
        <v>9</v>
      </c>
      <c r="P42" s="21">
        <v>90</v>
      </c>
      <c r="Q42" s="4">
        <v>781.16</v>
      </c>
      <c r="R42" s="4">
        <v>30.899999619999999</v>
      </c>
      <c r="S42">
        <v>32.673999999999999</v>
      </c>
      <c r="T42">
        <v>0.40784141337110863</v>
      </c>
      <c r="U42">
        <v>0</v>
      </c>
      <c r="V42">
        <v>0</v>
      </c>
      <c r="W42">
        <v>0</v>
      </c>
      <c r="X42">
        <v>0.40784141337110863</v>
      </c>
      <c r="Y42">
        <v>83.815782452632362</v>
      </c>
      <c r="Z42">
        <v>5.125051929639092</v>
      </c>
      <c r="AA42">
        <v>0.40784141337110863</v>
      </c>
      <c r="AB42">
        <v>4.7172105162679836</v>
      </c>
      <c r="AC42" s="21">
        <f t="shared" si="0"/>
        <v>100</v>
      </c>
      <c r="AD42" s="21">
        <f t="shared" si="1"/>
        <v>100</v>
      </c>
      <c r="AE42" s="21">
        <f t="shared" si="2"/>
        <v>100</v>
      </c>
      <c r="AF42" s="21">
        <f t="shared" si="3"/>
        <v>0</v>
      </c>
      <c r="AG42" s="21">
        <f t="shared" si="4"/>
        <v>0</v>
      </c>
    </row>
    <row r="43" spans="1:33" x14ac:dyDescent="0.4">
      <c r="A43" s="21">
        <v>89</v>
      </c>
      <c r="B43" s="21" t="str">
        <v>Drain</v>
      </c>
      <c r="C43" s="21">
        <v>29.374561</v>
      </c>
      <c r="D43" s="21">
        <v>619982.80000000005</v>
      </c>
      <c r="E43" s="21">
        <v>6081936.5999999996</v>
      </c>
      <c r="F43" s="21">
        <v>811.3</v>
      </c>
      <c r="G43" s="21">
        <v>13</v>
      </c>
      <c r="H43" s="21">
        <v>0</v>
      </c>
      <c r="I43" s="21">
        <v>33.9</v>
      </c>
      <c r="J43" s="21">
        <v>0</v>
      </c>
      <c r="K43" s="21">
        <v>100</v>
      </c>
      <c r="L43" s="21">
        <v>3.1</v>
      </c>
      <c r="M43" s="21">
        <v>100</v>
      </c>
      <c r="N43" s="21">
        <v>1</v>
      </c>
      <c r="O43" s="35">
        <v>17</v>
      </c>
      <c r="P43" s="21">
        <v>90</v>
      </c>
      <c r="Q43" s="4">
        <v>781.16</v>
      </c>
      <c r="R43" s="4">
        <v>30.899999619999999</v>
      </c>
      <c r="S43">
        <v>105.09</v>
      </c>
      <c r="T43">
        <v>4.9149115791372839</v>
      </c>
      <c r="U43">
        <v>0</v>
      </c>
      <c r="V43">
        <v>0</v>
      </c>
      <c r="W43">
        <v>0.97389586606147194</v>
      </c>
      <c r="X43">
        <v>4.9149115791372839</v>
      </c>
      <c r="Y43">
        <v>59.001561583442566</v>
      </c>
      <c r="Z43">
        <v>4.9149115791372839</v>
      </c>
      <c r="AA43">
        <v>0</v>
      </c>
      <c r="AB43">
        <v>4.9149115791372839</v>
      </c>
      <c r="AC43" s="21">
        <f t="shared" si="0"/>
        <v>80.184875142099301</v>
      </c>
      <c r="AD43" s="21">
        <f t="shared" si="1"/>
        <v>100</v>
      </c>
      <c r="AE43" s="21">
        <f t="shared" si="2"/>
        <v>100</v>
      </c>
      <c r="AF43" s="21">
        <f t="shared" si="3"/>
        <v>0</v>
      </c>
      <c r="AG43" s="21">
        <f t="shared" si="4"/>
        <v>0</v>
      </c>
    </row>
    <row r="44" spans="1:33" x14ac:dyDescent="0.4">
      <c r="A44" s="21">
        <v>81</v>
      </c>
      <c r="B44" s="21" t="str">
        <v>Drain</v>
      </c>
      <c r="C44" s="21">
        <v>97.897906000000006</v>
      </c>
      <c r="D44" s="21">
        <v>619869.5</v>
      </c>
      <c r="E44" s="21">
        <v>6081743.5999999996</v>
      </c>
      <c r="F44" s="21">
        <v>814.4</v>
      </c>
      <c r="G44" s="21">
        <v>17</v>
      </c>
      <c r="H44" s="21">
        <v>0</v>
      </c>
      <c r="I44" s="21">
        <v>9.2100000000000009</v>
      </c>
      <c r="J44" s="21">
        <v>0</v>
      </c>
      <c r="K44" s="21">
        <v>100</v>
      </c>
      <c r="L44" s="21">
        <v>4.9000000000000004</v>
      </c>
      <c r="M44" s="21">
        <v>100</v>
      </c>
      <c r="N44" s="21">
        <v>0</v>
      </c>
      <c r="O44" s="35">
        <v>17</v>
      </c>
      <c r="P44" s="21">
        <v>90</v>
      </c>
      <c r="Q44" s="4">
        <v>781.16</v>
      </c>
      <c r="R44" s="4">
        <v>30.899999619999999</v>
      </c>
      <c r="S44">
        <v>45.129000000000005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 s="21">
        <f t="shared" si="0"/>
        <v>0</v>
      </c>
      <c r="AD44" s="21">
        <f t="shared" si="1"/>
        <v>0</v>
      </c>
      <c r="AE44" s="21">
        <f t="shared" si="2"/>
        <v>0</v>
      </c>
      <c r="AF44" s="21">
        <f t="shared" si="3"/>
        <v>0</v>
      </c>
      <c r="AG44" s="21">
        <f t="shared" si="4"/>
        <v>0</v>
      </c>
    </row>
    <row r="45" spans="1:33" x14ac:dyDescent="0.4">
      <c r="A45" s="21">
        <v>90</v>
      </c>
      <c r="B45" s="21" t="str">
        <v>Drain</v>
      </c>
      <c r="C45" s="21">
        <v>44.401201999999998</v>
      </c>
      <c r="D45" s="21">
        <v>619982.69999999995</v>
      </c>
      <c r="E45" s="21">
        <v>6081970.5</v>
      </c>
      <c r="F45" s="21">
        <v>816.2</v>
      </c>
      <c r="G45" s="21">
        <v>14</v>
      </c>
      <c r="H45" s="21">
        <v>0</v>
      </c>
      <c r="I45" s="21">
        <v>118.85</v>
      </c>
      <c r="J45" s="21">
        <v>0</v>
      </c>
      <c r="K45" s="21">
        <v>100</v>
      </c>
      <c r="L45" s="21">
        <v>3.2</v>
      </c>
      <c r="M45" s="21">
        <v>100</v>
      </c>
      <c r="N45" s="21">
        <v>0</v>
      </c>
      <c r="O45" s="35">
        <v>7</v>
      </c>
      <c r="P45" s="21">
        <v>90</v>
      </c>
      <c r="Q45" s="4">
        <v>781.16</v>
      </c>
      <c r="R45" s="4">
        <v>30.899999619999999</v>
      </c>
      <c r="S45">
        <v>380.32</v>
      </c>
      <c r="T45">
        <v>7.3226439649012161</v>
      </c>
      <c r="U45">
        <v>0</v>
      </c>
      <c r="V45">
        <v>0</v>
      </c>
      <c r="W45">
        <v>0</v>
      </c>
      <c r="X45">
        <v>7.3226439649012161</v>
      </c>
      <c r="Y45">
        <v>7.6121284043479598</v>
      </c>
      <c r="Z45">
        <v>68.907356210997719</v>
      </c>
      <c r="AA45">
        <v>7.3226439649012161</v>
      </c>
      <c r="AB45">
        <v>61.584712246096501</v>
      </c>
      <c r="AC45" s="21">
        <f t="shared" si="0"/>
        <v>100</v>
      </c>
      <c r="AD45" s="21">
        <f t="shared" si="1"/>
        <v>100</v>
      </c>
      <c r="AE45" s="21">
        <f t="shared" si="2"/>
        <v>100</v>
      </c>
      <c r="AF45" s="21">
        <f t="shared" si="3"/>
        <v>0</v>
      </c>
      <c r="AG45" s="21">
        <f t="shared" si="4"/>
        <v>0</v>
      </c>
    </row>
    <row r="46" spans="1:33" x14ac:dyDescent="0.4">
      <c r="A46" s="21">
        <v>101</v>
      </c>
      <c r="B46" s="21" t="str">
        <v>Drain</v>
      </c>
      <c r="C46" s="21">
        <v>56.040238000000002</v>
      </c>
      <c r="D46" s="21">
        <v>620239.6</v>
      </c>
      <c r="E46" s="21">
        <v>6082171</v>
      </c>
      <c r="F46" s="21">
        <v>817.7</v>
      </c>
      <c r="G46" s="21">
        <v>16</v>
      </c>
      <c r="H46" s="21">
        <v>0</v>
      </c>
      <c r="I46" s="21">
        <v>52.95</v>
      </c>
      <c r="J46" s="21">
        <v>0</v>
      </c>
      <c r="K46" s="21">
        <v>100</v>
      </c>
      <c r="L46" s="21">
        <v>3.6</v>
      </c>
      <c r="M46" s="21">
        <v>100</v>
      </c>
      <c r="N46" s="21">
        <v>1</v>
      </c>
      <c r="O46" s="35">
        <v>12</v>
      </c>
      <c r="P46" s="21">
        <v>90</v>
      </c>
      <c r="Q46" s="4">
        <v>781.16</v>
      </c>
      <c r="R46" s="4">
        <v>30.899999619999999</v>
      </c>
      <c r="S46">
        <v>190.62</v>
      </c>
      <c r="T46">
        <v>8.0674324141239353</v>
      </c>
      <c r="U46">
        <v>0</v>
      </c>
      <c r="V46">
        <v>0</v>
      </c>
      <c r="W46">
        <v>1.1299049441357205</v>
      </c>
      <c r="X46">
        <v>8.0674324141239353</v>
      </c>
      <c r="Y46">
        <v>43.275411156179288</v>
      </c>
      <c r="Z46">
        <v>8.0674324141239353</v>
      </c>
      <c r="AA46">
        <v>0</v>
      </c>
      <c r="AB46">
        <v>8.0674324141239353</v>
      </c>
      <c r="AC46" s="21">
        <f t="shared" si="0"/>
        <v>85.994243445317792</v>
      </c>
      <c r="AD46" s="21">
        <f t="shared" si="1"/>
        <v>100</v>
      </c>
      <c r="AE46" s="21">
        <f t="shared" si="2"/>
        <v>100</v>
      </c>
      <c r="AF46" s="21">
        <f t="shared" si="3"/>
        <v>0</v>
      </c>
      <c r="AG46" s="21">
        <f t="shared" si="4"/>
        <v>0</v>
      </c>
    </row>
    <row r="47" spans="1:33" x14ac:dyDescent="0.4">
      <c r="A47" s="21">
        <v>100</v>
      </c>
      <c r="B47" s="21" t="str">
        <v>Drain</v>
      </c>
      <c r="C47" s="21">
        <v>112.282453</v>
      </c>
      <c r="D47" s="21">
        <v>620213.9</v>
      </c>
      <c r="E47" s="21">
        <v>6082124.7000000002</v>
      </c>
      <c r="F47" s="21">
        <v>828.2</v>
      </c>
      <c r="G47" s="21">
        <v>14</v>
      </c>
      <c r="H47" s="21">
        <v>0</v>
      </c>
      <c r="I47" s="21">
        <v>57.7</v>
      </c>
      <c r="J47" s="21">
        <v>0</v>
      </c>
      <c r="K47" s="21">
        <v>100</v>
      </c>
      <c r="L47" s="21">
        <v>3.5</v>
      </c>
      <c r="M47" s="21">
        <v>100</v>
      </c>
      <c r="N47" s="21">
        <v>1</v>
      </c>
      <c r="O47" s="35">
        <v>5</v>
      </c>
      <c r="P47" s="21">
        <v>90</v>
      </c>
      <c r="Q47" s="4">
        <v>781.16</v>
      </c>
      <c r="R47" s="4">
        <v>30.899999619999999</v>
      </c>
      <c r="S47">
        <v>201.95000000000002</v>
      </c>
      <c r="T47">
        <v>0</v>
      </c>
      <c r="U47">
        <v>0</v>
      </c>
      <c r="V47">
        <v>0</v>
      </c>
      <c r="W47">
        <v>0</v>
      </c>
      <c r="X47">
        <v>0</v>
      </c>
      <c r="Y47">
        <v>10.354368462903597</v>
      </c>
      <c r="Z47">
        <v>0</v>
      </c>
      <c r="AA47">
        <v>0</v>
      </c>
      <c r="AB47">
        <v>0</v>
      </c>
      <c r="AC47" s="21">
        <f t="shared" si="0"/>
        <v>0</v>
      </c>
      <c r="AD47" s="21">
        <f t="shared" si="1"/>
        <v>0</v>
      </c>
      <c r="AE47" s="21">
        <f t="shared" si="2"/>
        <v>0</v>
      </c>
      <c r="AF47" s="21">
        <f t="shared" si="3"/>
        <v>0</v>
      </c>
      <c r="AG47" s="21">
        <f t="shared" si="4"/>
        <v>0</v>
      </c>
    </row>
    <row r="48" spans="1:33" x14ac:dyDescent="0.4">
      <c r="A48">
        <v>91</v>
      </c>
      <c r="B48" t="str">
        <v>Drain</v>
      </c>
      <c r="C48">
        <v>61.332389999999997</v>
      </c>
      <c r="D48">
        <v>619988.69999999995</v>
      </c>
      <c r="E48">
        <v>6082088.5</v>
      </c>
      <c r="F48">
        <v>828.3</v>
      </c>
      <c r="G48">
        <v>2</v>
      </c>
      <c r="H48">
        <v>0</v>
      </c>
      <c r="I48">
        <v>19.29</v>
      </c>
      <c r="J48">
        <v>0</v>
      </c>
      <c r="K48">
        <v>100</v>
      </c>
      <c r="L48">
        <v>3.1</v>
      </c>
      <c r="M48">
        <v>100</v>
      </c>
      <c r="N48">
        <v>0</v>
      </c>
      <c r="O48">
        <v>13</v>
      </c>
      <c r="P48">
        <v>90</v>
      </c>
      <c r="Q48">
        <v>781.16</v>
      </c>
      <c r="R48">
        <v>30.899999619999999</v>
      </c>
      <c r="S48">
        <v>59.798999999999999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 s="21">
        <f t="shared" si="0"/>
        <v>0</v>
      </c>
      <c r="AD48" s="21">
        <f t="shared" si="1"/>
        <v>0</v>
      </c>
      <c r="AE48" s="21">
        <f t="shared" si="2"/>
        <v>0</v>
      </c>
      <c r="AF48" s="21">
        <f t="shared" si="3"/>
        <v>0</v>
      </c>
      <c r="AG48" s="21">
        <f t="shared" si="4"/>
        <v>0</v>
      </c>
    </row>
    <row r="49" spans="1:33" x14ac:dyDescent="0.4">
      <c r="A49">
        <v>98</v>
      </c>
      <c r="B49" t="str">
        <v>Drain</v>
      </c>
      <c r="C49">
        <v>103.495987</v>
      </c>
      <c r="D49">
        <v>620124.19999999995</v>
      </c>
      <c r="E49">
        <v>6082077.4000000004</v>
      </c>
      <c r="F49">
        <v>830.6</v>
      </c>
      <c r="G49">
        <v>8</v>
      </c>
      <c r="H49">
        <v>0</v>
      </c>
      <c r="I49">
        <v>48.57</v>
      </c>
      <c r="J49">
        <v>0</v>
      </c>
      <c r="K49">
        <v>100</v>
      </c>
      <c r="L49">
        <v>3.8</v>
      </c>
      <c r="M49">
        <v>100</v>
      </c>
      <c r="N49">
        <v>0</v>
      </c>
      <c r="O49">
        <v>7</v>
      </c>
      <c r="P49">
        <v>90</v>
      </c>
      <c r="Q49">
        <v>781.16</v>
      </c>
      <c r="R49">
        <v>30.899999619999999</v>
      </c>
      <c r="S49">
        <v>184.566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 s="21">
        <f t="shared" si="0"/>
        <v>0</v>
      </c>
      <c r="AD49" s="21">
        <f t="shared" si="1"/>
        <v>0</v>
      </c>
      <c r="AE49" s="21">
        <f t="shared" si="2"/>
        <v>0</v>
      </c>
      <c r="AF49" s="21">
        <f t="shared" si="3"/>
        <v>0</v>
      </c>
      <c r="AG49" s="21">
        <f t="shared" si="4"/>
        <v>0</v>
      </c>
    </row>
    <row r="50" spans="1:33" x14ac:dyDescent="0.4">
      <c r="A50">
        <v>98</v>
      </c>
      <c r="B50" t="str">
        <v>Drain</v>
      </c>
      <c r="C50">
        <v>103.495987</v>
      </c>
      <c r="D50">
        <v>620124.19999999995</v>
      </c>
      <c r="E50">
        <v>6082077.4000000004</v>
      </c>
      <c r="F50">
        <v>830.6</v>
      </c>
      <c r="G50">
        <v>8</v>
      </c>
      <c r="H50">
        <v>0</v>
      </c>
      <c r="I50">
        <v>48.57</v>
      </c>
      <c r="J50">
        <v>0</v>
      </c>
      <c r="K50">
        <v>100</v>
      </c>
      <c r="L50">
        <v>3.8</v>
      </c>
      <c r="M50">
        <v>100</v>
      </c>
      <c r="N50">
        <v>0</v>
      </c>
      <c r="O50">
        <v>7</v>
      </c>
      <c r="P50">
        <v>90</v>
      </c>
      <c r="Q50">
        <v>781.16</v>
      </c>
      <c r="R50">
        <v>30.899999619999999</v>
      </c>
      <c r="S50">
        <v>184.566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AC50" s="21">
        <f t="shared" si="0"/>
        <v>0</v>
      </c>
      <c r="AD50" s="21">
        <f t="shared" si="1"/>
        <v>0</v>
      </c>
      <c r="AE50" s="21">
        <f t="shared" si="2"/>
        <v>0</v>
      </c>
      <c r="AF50" s="21">
        <f t="shared" si="3"/>
        <v>0</v>
      </c>
      <c r="AG50" s="21">
        <f t="shared" si="4"/>
        <v>0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069625CD7E8B40ABFEA563B404EEE0" ma:contentTypeVersion="11" ma:contentTypeDescription="Create a new document." ma:contentTypeScope="" ma:versionID="c0b06059ab1a2944b8ccc323334af6d8">
  <xsd:schema xmlns:xsd="http://www.w3.org/2001/XMLSchema" xmlns:xs="http://www.w3.org/2001/XMLSchema" xmlns:p="http://schemas.microsoft.com/office/2006/metadata/properties" xmlns:ns2="d0da227b-9289-4cc0-acfc-7c1a1bb6c4e6" xmlns:ns3="279e1061-f513-4e98-89f0-d0bf72016cd5" targetNamespace="http://schemas.microsoft.com/office/2006/metadata/properties" ma:root="true" ma:fieldsID="fcc07247c791d99d9c0ed5618b4518ae" ns2:_="" ns3:_="">
    <xsd:import namespace="d0da227b-9289-4cc0-acfc-7c1a1bb6c4e6"/>
    <xsd:import namespace="279e1061-f513-4e98-89f0-d0bf72016c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a227b-9289-4cc0-acfc-7c1a1bb6c4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821bcfc-ffc4-46b8-8cbf-fbded4ffe9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e1061-f513-4e98-89f0-d0bf72016cd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a801355-c202-4949-b13c-bb64311e09e7}" ma:internalName="TaxCatchAll" ma:showField="CatchAllData" ma:web="279e1061-f513-4e98-89f0-d0bf72016c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da227b-9289-4cc0-acfc-7c1a1bb6c4e6">
      <Terms xmlns="http://schemas.microsoft.com/office/infopath/2007/PartnerControls"/>
    </lcf76f155ced4ddcb4097134ff3c332f>
    <TaxCatchAll xmlns="279e1061-f513-4e98-89f0-d0bf72016cd5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C5F339AE-6E6E-4405-851D-187AD301B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157CC8-3EDF-4226-89C1-91F6707267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da227b-9289-4cc0-acfc-7c1a1bb6c4e6"/>
    <ds:schemaRef ds:uri="279e1061-f513-4e98-89f0-d0bf72016c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2BE1F5-5AF6-4EA0-9279-0955D36F8D15}">
  <ds:schemaRefs>
    <ds:schemaRef ds:uri="d0da227b-9289-4cc0-acfc-7c1a1bb6c4e6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279e1061-f513-4e98-89f0-d0bf72016cd5"/>
  </ds:schemaRefs>
</ds:datastoreItem>
</file>

<file path=customXml/itemProps4.xml><?xml version="1.0" encoding="utf-8"?>
<ds:datastoreItem xmlns:ds="http://schemas.openxmlformats.org/officeDocument/2006/customXml" ds:itemID="{EF42E1CE-D6BF-40B4-8DCE-99E7FE026B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Home</vt:lpstr>
      <vt:lpstr>Model</vt:lpstr>
      <vt:lpstr>Base case</vt:lpstr>
      <vt:lpstr>Drain catchment area</vt:lpstr>
      <vt:lpstr>Blocked and bypassed</vt:lpstr>
      <vt:lpstr>Gullying</vt:lpstr>
      <vt:lpstr>Segment summary</vt:lpstr>
      <vt:lpstr>GIS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Petter Nyman</dc:creator>
  <cp:keywords/>
  <dc:description/>
  <cp:lastModifiedBy>Alex Sims</cp:lastModifiedBy>
  <cp:revision/>
  <dcterms:created xsi:type="dcterms:W3CDTF">2020-10-06T04:06:23Z</dcterms:created>
  <dcterms:modified xsi:type="dcterms:W3CDTF">2022-07-04T22:31:18Z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0x010100F7069625CD7E8B40ABFEA563B404EEE0</vt:lpwstr>
  </property>
  <property fmtid="{D5CDD505-2E9C-101B-9397-08002B2CF9AE}" pid="3" name="MediaServiceImageTags">
    <vt:lpwstr/>
  </property>
</Properties>
</file>